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На сайт ПРОЕКТ первого чтения бюджета МО Улаганский район на 2024-2026 гг\"/>
    </mc:Choice>
  </mc:AlternateContent>
  <bookViews>
    <workbookView xWindow="-195" yWindow="180" windowWidth="15480" windowHeight="8745" tabRatio="766" firstSheet="20" activeTab="20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state="hidden" r:id="rId18"/>
    <sheet name="13 ДФ " sheetId="44" state="hidden" r:id="rId19"/>
    <sheet name="14 ДФ" sheetId="45" state="hidden" r:id="rId20"/>
    <sheet name="15 МБТ " sheetId="46" r:id="rId21"/>
    <sheet name="16 МБТ" sheetId="47" state="hidden" r:id="rId22"/>
    <sheet name="17 МБТ " sheetId="54" state="hidden" r:id="rId23"/>
    <sheet name="Лист1" sheetId="57" state="hidden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6">'11 Вед'!$A$1:$Z$1104</definedName>
    <definedName name="_xlnm.Print_Area" localSheetId="17">'12 Вед'!$A$1:$O$1071</definedName>
    <definedName name="_xlnm.Print_Area" localSheetId="18">'13 ДФ '!$A$1:$L$20</definedName>
    <definedName name="_xlnm.Print_Area" localSheetId="19">'14 ДФ'!$A$1:$P$19</definedName>
    <definedName name="_xlnm.Print_Area" localSheetId="20">'15 МБТ '!$A$1:$K$27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Y172" i="51" l="1"/>
  <c r="Z175" i="51"/>
  <c r="P175" i="51"/>
  <c r="R175" i="51" s="1"/>
  <c r="T175" i="51" s="1"/>
  <c r="N175" i="51"/>
  <c r="M175" i="51"/>
  <c r="L175" i="51"/>
  <c r="J175" i="51"/>
  <c r="O175" i="51" l="1"/>
  <c r="N610" i="56" l="1"/>
  <c r="N126" i="56"/>
  <c r="M593" i="56"/>
  <c r="O593" i="56"/>
  <c r="N598" i="56"/>
  <c r="Y621" i="51"/>
  <c r="X621" i="51"/>
  <c r="J626" i="51"/>
  <c r="L626" i="51" s="1"/>
  <c r="M626" i="51"/>
  <c r="O626" i="51" s="1"/>
  <c r="Q626" i="51" s="1"/>
  <c r="T626" i="51"/>
  <c r="Z626" i="51"/>
  <c r="N745" i="56"/>
  <c r="Y714" i="51"/>
  <c r="Y713" i="51"/>
  <c r="Y320" i="51"/>
  <c r="Z171" i="51"/>
  <c r="W171" i="51"/>
  <c r="R171" i="51"/>
  <c r="T171" i="51" s="1"/>
  <c r="O171" i="51"/>
  <c r="J171" i="51"/>
  <c r="N626" i="51" l="1"/>
  <c r="P626" i="51" s="1"/>
  <c r="C12" i="52" l="1"/>
  <c r="Z311" i="51" l="1"/>
  <c r="R311" i="51"/>
  <c r="R310" i="51" s="1"/>
  <c r="O311" i="51"/>
  <c r="O310" i="51" s="1"/>
  <c r="J311" i="51"/>
  <c r="Z310" i="51"/>
  <c r="Y310" i="51"/>
  <c r="X310" i="51"/>
  <c r="W310" i="51"/>
  <c r="V310" i="51"/>
  <c r="U310" i="51"/>
  <c r="T310" i="51"/>
  <c r="S310" i="51"/>
  <c r="Q310" i="51"/>
  <c r="P310" i="51"/>
  <c r="N310" i="51"/>
  <c r="M310" i="51"/>
  <c r="L310" i="51"/>
  <c r="K310" i="51"/>
  <c r="I310" i="51"/>
  <c r="H310" i="51"/>
  <c r="G310" i="51"/>
  <c r="G313" i="51"/>
  <c r="G312" i="51" s="1"/>
  <c r="J310" i="51" l="1"/>
  <c r="M157" i="56"/>
  <c r="O157" i="56"/>
  <c r="L157" i="56"/>
  <c r="N159" i="56"/>
  <c r="N158" i="56"/>
  <c r="O125" i="56"/>
  <c r="N157" i="56" l="1"/>
  <c r="O177" i="56"/>
  <c r="O174" i="56"/>
  <c r="O171" i="56"/>
  <c r="O160" i="56"/>
  <c r="M188" i="56"/>
  <c r="O188" i="56"/>
  <c r="L188" i="56"/>
  <c r="M203" i="56"/>
  <c r="O203" i="56"/>
  <c r="L203" i="56"/>
  <c r="O183" i="56"/>
  <c r="O168" i="56"/>
  <c r="O165" i="56"/>
  <c r="M191" i="56"/>
  <c r="O191" i="56"/>
  <c r="L191" i="56"/>
  <c r="N185" i="56" l="1"/>
  <c r="N184" i="56"/>
  <c r="N183" i="56" s="1"/>
  <c r="M183" i="56"/>
  <c r="L183" i="56"/>
  <c r="N182" i="56"/>
  <c r="N181" i="56"/>
  <c r="N180" i="56"/>
  <c r="N179" i="56"/>
  <c r="N178" i="56"/>
  <c r="M177" i="56"/>
  <c r="L177" i="56"/>
  <c r="N176" i="56"/>
  <c r="N175" i="56"/>
  <c r="M174" i="56"/>
  <c r="L174" i="56"/>
  <c r="N173" i="56"/>
  <c r="N172" i="56"/>
  <c r="M171" i="56"/>
  <c r="L171" i="56"/>
  <c r="N170" i="56"/>
  <c r="N168" i="56" s="1"/>
  <c r="N169" i="56"/>
  <c r="M168" i="56"/>
  <c r="L168" i="56"/>
  <c r="N167" i="56"/>
  <c r="N166" i="56"/>
  <c r="M165" i="56"/>
  <c r="L165" i="56"/>
  <c r="L164" i="56"/>
  <c r="N164" i="56" s="1"/>
  <c r="L163" i="56"/>
  <c r="N163" i="56" s="1"/>
  <c r="L162" i="56"/>
  <c r="N162" i="56" s="1"/>
  <c r="L161" i="56"/>
  <c r="N161" i="56" s="1"/>
  <c r="M160" i="56"/>
  <c r="N156" i="56"/>
  <c r="N155" i="56"/>
  <c r="N154" i="56"/>
  <c r="N153" i="56"/>
  <c r="N152" i="56"/>
  <c r="N151" i="56"/>
  <c r="N150" i="56"/>
  <c r="N149" i="56"/>
  <c r="N148" i="56"/>
  <c r="O128" i="56"/>
  <c r="O115" i="56"/>
  <c r="N134" i="56"/>
  <c r="N133" i="56"/>
  <c r="L132" i="56"/>
  <c r="N132" i="56" s="1"/>
  <c r="L131" i="56"/>
  <c r="N131" i="56" s="1"/>
  <c r="L130" i="56"/>
  <c r="N130" i="56" s="1"/>
  <c r="L129" i="56"/>
  <c r="N129" i="56" s="1"/>
  <c r="M128" i="56"/>
  <c r="N127" i="56"/>
  <c r="M125" i="56"/>
  <c r="L125" i="56"/>
  <c r="N124" i="56"/>
  <c r="N123" i="56"/>
  <c r="N122" i="56"/>
  <c r="N121" i="56"/>
  <c r="N120" i="56"/>
  <c r="N119" i="56"/>
  <c r="N118" i="56"/>
  <c r="N117" i="56"/>
  <c r="N116" i="56"/>
  <c r="M683" i="56"/>
  <c r="M682" i="56" s="1"/>
  <c r="C25" i="50" s="1"/>
  <c r="N691" i="56"/>
  <c r="N696" i="56"/>
  <c r="K696" i="56"/>
  <c r="N695" i="56"/>
  <c r="K695" i="56"/>
  <c r="N694" i="56"/>
  <c r="K694" i="56"/>
  <c r="O693" i="56"/>
  <c r="O692" i="56" s="1"/>
  <c r="E26" i="50" s="1"/>
  <c r="M693" i="56"/>
  <c r="M692" i="56" s="1"/>
  <c r="C26" i="50" s="1"/>
  <c r="L693" i="56"/>
  <c r="L692" i="56" s="1"/>
  <c r="K693" i="56"/>
  <c r="J693" i="56"/>
  <c r="J691" i="56"/>
  <c r="J683" i="56" s="1"/>
  <c r="K690" i="56"/>
  <c r="L690" i="56" s="1"/>
  <c r="L683" i="56" s="1"/>
  <c r="L682" i="56" s="1"/>
  <c r="N689" i="56"/>
  <c r="K689" i="56"/>
  <c r="N688" i="56"/>
  <c r="K688" i="56"/>
  <c r="N687" i="56"/>
  <c r="K687" i="56"/>
  <c r="N686" i="56"/>
  <c r="K686" i="56"/>
  <c r="N685" i="56"/>
  <c r="K685" i="56"/>
  <c r="N684" i="56"/>
  <c r="K684" i="56"/>
  <c r="M308" i="56"/>
  <c r="M305" i="56" s="1"/>
  <c r="M304" i="56" s="1"/>
  <c r="O308" i="56"/>
  <c r="O305" i="56" s="1"/>
  <c r="O304" i="56" s="1"/>
  <c r="L308" i="56"/>
  <c r="L305" i="56" s="1"/>
  <c r="L304" i="56" s="1"/>
  <c r="L303" i="56" s="1"/>
  <c r="N311" i="56"/>
  <c r="N312" i="56"/>
  <c r="N313" i="56"/>
  <c r="N310" i="56"/>
  <c r="N309" i="56"/>
  <c r="K309" i="56"/>
  <c r="K308" i="56"/>
  <c r="N307" i="56"/>
  <c r="K307" i="56"/>
  <c r="N306" i="56"/>
  <c r="K306" i="56"/>
  <c r="J305" i="56"/>
  <c r="M115" i="56" l="1"/>
  <c r="N125" i="56"/>
  <c r="N171" i="56"/>
  <c r="N174" i="56"/>
  <c r="L160" i="56"/>
  <c r="N165" i="56"/>
  <c r="N177" i="56"/>
  <c r="N160" i="56"/>
  <c r="N693" i="56"/>
  <c r="N692" i="56" s="1"/>
  <c r="D26" i="50" s="1"/>
  <c r="N128" i="56"/>
  <c r="L128" i="56"/>
  <c r="L115" i="56" s="1"/>
  <c r="N308" i="56"/>
  <c r="O303" i="56"/>
  <c r="E60" i="50"/>
  <c r="M303" i="56"/>
  <c r="C60" i="50"/>
  <c r="K691" i="56"/>
  <c r="N690" i="56"/>
  <c r="K683" i="56"/>
  <c r="N305" i="56"/>
  <c r="N304" i="56" s="1"/>
  <c r="D60" i="50" s="1"/>
  <c r="K305" i="56"/>
  <c r="N683" i="56" l="1"/>
  <c r="N682" i="56" s="1"/>
  <c r="N303" i="56"/>
  <c r="O690" i="56"/>
  <c r="O683" i="56" l="1"/>
  <c r="O682" i="56" s="1"/>
  <c r="D25" i="50"/>
  <c r="E25" i="50" l="1"/>
  <c r="Y854" i="51" l="1"/>
  <c r="Z855" i="51"/>
  <c r="R855" i="51"/>
  <c r="O855" i="51"/>
  <c r="J855" i="51"/>
  <c r="Y712" i="51"/>
  <c r="Y711" i="51" s="1"/>
  <c r="Z725" i="51"/>
  <c r="R725" i="51"/>
  <c r="T725" i="51" s="1"/>
  <c r="O725" i="51"/>
  <c r="J725" i="51"/>
  <c r="Z724" i="51"/>
  <c r="R724" i="51"/>
  <c r="T724" i="51" s="1"/>
  <c r="O724" i="51"/>
  <c r="J724" i="51"/>
  <c r="Z723" i="51"/>
  <c r="Z722" i="51" s="1"/>
  <c r="R723" i="51"/>
  <c r="T723" i="51" s="1"/>
  <c r="T722" i="51" s="1"/>
  <c r="O723" i="51"/>
  <c r="O722" i="51" s="1"/>
  <c r="J723" i="51"/>
  <c r="Y722" i="51"/>
  <c r="X722" i="51"/>
  <c r="X721" i="51" s="1"/>
  <c r="W722" i="51"/>
  <c r="V722" i="51"/>
  <c r="U722" i="51"/>
  <c r="S722" i="51"/>
  <c r="Q722" i="51"/>
  <c r="P722" i="51"/>
  <c r="N722" i="51"/>
  <c r="M722" i="51"/>
  <c r="L722" i="51"/>
  <c r="K722" i="51"/>
  <c r="I722" i="51"/>
  <c r="H722" i="51"/>
  <c r="G722" i="51"/>
  <c r="Z720" i="51"/>
  <c r="Y708" i="51"/>
  <c r="Y699" i="51" s="1"/>
  <c r="V720" i="51"/>
  <c r="W720" i="51"/>
  <c r="U720" i="51"/>
  <c r="T720" i="51"/>
  <c r="S720" i="51"/>
  <c r="R720" i="51"/>
  <c r="T719" i="51"/>
  <c r="V719" i="51" s="1"/>
  <c r="X719" i="51" s="1"/>
  <c r="Z719" i="51" s="1"/>
  <c r="Z718" i="51"/>
  <c r="R718" i="51"/>
  <c r="O718" i="51"/>
  <c r="J718" i="51"/>
  <c r="Z717" i="51"/>
  <c r="R717" i="51"/>
  <c r="T717" i="51" s="1"/>
  <c r="O717" i="51"/>
  <c r="J717" i="51"/>
  <c r="Z716" i="51"/>
  <c r="S716" i="51"/>
  <c r="T716" i="51" s="1"/>
  <c r="Z715" i="51"/>
  <c r="S715" i="51"/>
  <c r="T715" i="51" s="1"/>
  <c r="Z714" i="51"/>
  <c r="U714" i="51"/>
  <c r="S714" i="51"/>
  <c r="R714" i="51"/>
  <c r="O714" i="51"/>
  <c r="I714" i="51"/>
  <c r="J714" i="51" s="1"/>
  <c r="Z713" i="51"/>
  <c r="U713" i="51"/>
  <c r="S713" i="51"/>
  <c r="R713" i="51"/>
  <c r="O713" i="51"/>
  <c r="I713" i="51"/>
  <c r="W712" i="51"/>
  <c r="Q712" i="51"/>
  <c r="P712" i="51"/>
  <c r="N712" i="51"/>
  <c r="M712" i="51"/>
  <c r="L712" i="51"/>
  <c r="K712" i="51"/>
  <c r="H712" i="51"/>
  <c r="G712" i="51"/>
  <c r="J722" i="51" l="1"/>
  <c r="X712" i="51"/>
  <c r="C25" i="15"/>
  <c r="Z712" i="51"/>
  <c r="Z711" i="51" s="1"/>
  <c r="R722" i="51"/>
  <c r="X711" i="51"/>
  <c r="V712" i="51"/>
  <c r="U712" i="51"/>
  <c r="S712" i="51"/>
  <c r="O712" i="51"/>
  <c r="I712" i="51"/>
  <c r="T714" i="51"/>
  <c r="R712" i="51"/>
  <c r="T713" i="51"/>
  <c r="J713" i="51"/>
  <c r="J712" i="51" s="1"/>
  <c r="L19" i="44"/>
  <c r="L11" i="44" s="1"/>
  <c r="K11" i="44"/>
  <c r="J11" i="44"/>
  <c r="J10" i="44" s="1"/>
  <c r="I20" i="44"/>
  <c r="F9" i="46"/>
  <c r="G9" i="46"/>
  <c r="H9" i="46"/>
  <c r="I9" i="46"/>
  <c r="J9" i="46"/>
  <c r="K9" i="46"/>
  <c r="E9" i="46"/>
  <c r="D21" i="46"/>
  <c r="M536" i="56"/>
  <c r="Z203" i="51"/>
  <c r="Z202" i="51" s="1"/>
  <c r="Y202" i="51"/>
  <c r="X202" i="51"/>
  <c r="N203" i="51"/>
  <c r="N202" i="51" s="1"/>
  <c r="K203" i="51"/>
  <c r="O202" i="51"/>
  <c r="M202" i="51"/>
  <c r="K202" i="51"/>
  <c r="J202" i="51"/>
  <c r="D25" i="15" l="1"/>
  <c r="T712" i="51"/>
  <c r="X141" i="51"/>
  <c r="Z197" i="51"/>
  <c r="O197" i="51"/>
  <c r="J197" i="51"/>
  <c r="Z150" i="51"/>
  <c r="O150" i="51"/>
  <c r="J150" i="51"/>
  <c r="Z149" i="51"/>
  <c r="O149" i="51"/>
  <c r="J149" i="51"/>
  <c r="X148" i="51"/>
  <c r="Z148" i="51" s="1"/>
  <c r="V147" i="51"/>
  <c r="X147" i="51" s="1"/>
  <c r="Z147" i="51" s="1"/>
  <c r="Q147" i="51"/>
  <c r="P147" i="51"/>
  <c r="O147" i="51"/>
  <c r="N147" i="51"/>
  <c r="M147" i="51"/>
  <c r="L147" i="51"/>
  <c r="K147" i="51"/>
  <c r="I147" i="51"/>
  <c r="H147" i="51"/>
  <c r="X146" i="51"/>
  <c r="Z146" i="51" s="1"/>
  <c r="R145" i="51"/>
  <c r="T145" i="51" s="1"/>
  <c r="O145" i="51"/>
  <c r="O144" i="51" s="1"/>
  <c r="J145" i="51"/>
  <c r="Y144" i="51"/>
  <c r="W144" i="51"/>
  <c r="U144" i="51"/>
  <c r="S144" i="51"/>
  <c r="Q144" i="51"/>
  <c r="P144" i="51"/>
  <c r="N144" i="51"/>
  <c r="M144" i="51"/>
  <c r="L144" i="51"/>
  <c r="K144" i="51"/>
  <c r="I144" i="51"/>
  <c r="H144" i="51"/>
  <c r="Z143" i="51"/>
  <c r="P143" i="51"/>
  <c r="R143" i="51" s="1"/>
  <c r="T143" i="51" s="1"/>
  <c r="N143" i="51"/>
  <c r="M143" i="51"/>
  <c r="L143" i="51"/>
  <c r="J143" i="51"/>
  <c r="Z142" i="51"/>
  <c r="P142" i="51"/>
  <c r="R142" i="51" s="1"/>
  <c r="T142" i="51" s="1"/>
  <c r="N142" i="51"/>
  <c r="M142" i="51"/>
  <c r="L142" i="51"/>
  <c r="J142" i="51"/>
  <c r="Y141" i="51"/>
  <c r="Z140" i="51"/>
  <c r="R140" i="51"/>
  <c r="T140" i="51" s="1"/>
  <c r="O140" i="51"/>
  <c r="J140" i="51"/>
  <c r="Z139" i="51"/>
  <c r="J139" i="51"/>
  <c r="M139" i="51" s="1"/>
  <c r="Z138" i="51"/>
  <c r="R138" i="51"/>
  <c r="O138" i="51"/>
  <c r="J138" i="51"/>
  <c r="Z137" i="51"/>
  <c r="W137" i="51"/>
  <c r="R137" i="51"/>
  <c r="T137" i="51" s="1"/>
  <c r="O137" i="51"/>
  <c r="J137" i="51"/>
  <c r="Z136" i="51"/>
  <c r="R136" i="51"/>
  <c r="T136" i="51" s="1"/>
  <c r="O136" i="51"/>
  <c r="J136" i="51"/>
  <c r="Z135" i="51"/>
  <c r="U135" i="51"/>
  <c r="S135" i="51"/>
  <c r="Z134" i="51"/>
  <c r="U134" i="51"/>
  <c r="S134" i="51"/>
  <c r="Z133" i="51"/>
  <c r="M133" i="51"/>
  <c r="L133" i="51"/>
  <c r="I133" i="51"/>
  <c r="J133" i="51" s="1"/>
  <c r="Z132" i="51"/>
  <c r="U132" i="51"/>
  <c r="S132" i="51"/>
  <c r="R132" i="51"/>
  <c r="M132" i="51"/>
  <c r="L132" i="51"/>
  <c r="I132" i="51"/>
  <c r="J132" i="51" s="1"/>
  <c r="X199" i="51"/>
  <c r="X193" i="51"/>
  <c r="X190" i="51"/>
  <c r="Y187" i="51"/>
  <c r="X187" i="51"/>
  <c r="Y181" i="51"/>
  <c r="Y184" i="51"/>
  <c r="X184" i="51"/>
  <c r="X181" i="51"/>
  <c r="X172" i="51"/>
  <c r="Z201" i="51"/>
  <c r="Z200" i="51"/>
  <c r="Y199" i="51"/>
  <c r="Z198" i="51"/>
  <c r="R198" i="51"/>
  <c r="O198" i="51"/>
  <c r="J198" i="51"/>
  <c r="Z196" i="51"/>
  <c r="O196" i="51"/>
  <c r="J196" i="51"/>
  <c r="Z195" i="51"/>
  <c r="Z194" i="51"/>
  <c r="Y193" i="51"/>
  <c r="W193" i="51"/>
  <c r="V193" i="51"/>
  <c r="U193" i="51"/>
  <c r="T193" i="51"/>
  <c r="Z192" i="51"/>
  <c r="Z191" i="51"/>
  <c r="Y190" i="51"/>
  <c r="W190" i="51"/>
  <c r="V190" i="51"/>
  <c r="U190" i="51"/>
  <c r="T190" i="51"/>
  <c r="Z189" i="51"/>
  <c r="Z188" i="51"/>
  <c r="W187" i="51"/>
  <c r="V187" i="51"/>
  <c r="U187" i="51"/>
  <c r="T187" i="51"/>
  <c r="O142" i="51" l="1"/>
  <c r="L139" i="51"/>
  <c r="O143" i="51"/>
  <c r="J144" i="51"/>
  <c r="R144" i="51"/>
  <c r="J147" i="51"/>
  <c r="T144" i="51"/>
  <c r="V145" i="51"/>
  <c r="V144" i="51" s="1"/>
  <c r="Z141" i="51"/>
  <c r="P139" i="51"/>
  <c r="R139" i="51" s="1"/>
  <c r="T139" i="51" s="1"/>
  <c r="O139" i="51"/>
  <c r="Z187" i="51"/>
  <c r="Z199" i="51"/>
  <c r="Z193" i="51"/>
  <c r="Z190" i="51"/>
  <c r="Z186" i="51"/>
  <c r="Z185" i="51"/>
  <c r="Z183" i="51"/>
  <c r="Z182" i="51"/>
  <c r="W181" i="51"/>
  <c r="V181" i="51"/>
  <c r="U181" i="51"/>
  <c r="T181" i="51"/>
  <c r="X180" i="51"/>
  <c r="Z180" i="51" s="1"/>
  <c r="V179" i="51"/>
  <c r="X179" i="51" s="1"/>
  <c r="Z179" i="51" s="1"/>
  <c r="Q179" i="51"/>
  <c r="P179" i="51"/>
  <c r="O179" i="51"/>
  <c r="N179" i="51"/>
  <c r="M179" i="51"/>
  <c r="L179" i="51"/>
  <c r="K179" i="51"/>
  <c r="I179" i="51"/>
  <c r="H179" i="51"/>
  <c r="X178" i="51"/>
  <c r="Z178" i="51" s="1"/>
  <c r="R177" i="51"/>
  <c r="T177" i="51" s="1"/>
  <c r="O177" i="51"/>
  <c r="O176" i="51" s="1"/>
  <c r="J177" i="51"/>
  <c r="Y176" i="51"/>
  <c r="W176" i="51"/>
  <c r="U176" i="51"/>
  <c r="S176" i="51"/>
  <c r="Q176" i="51"/>
  <c r="P176" i="51"/>
  <c r="N176" i="51"/>
  <c r="M176" i="51"/>
  <c r="L176" i="51"/>
  <c r="K176" i="51"/>
  <c r="I176" i="51"/>
  <c r="H176" i="51"/>
  <c r="Z174" i="51"/>
  <c r="P174" i="51"/>
  <c r="R174" i="51" s="1"/>
  <c r="T174" i="51" s="1"/>
  <c r="N174" i="51"/>
  <c r="M174" i="51"/>
  <c r="L174" i="51"/>
  <c r="J174" i="51"/>
  <c r="Z173" i="51"/>
  <c r="P173" i="51"/>
  <c r="R173" i="51" s="1"/>
  <c r="T173" i="51" s="1"/>
  <c r="N173" i="51"/>
  <c r="M173" i="51"/>
  <c r="L173" i="51"/>
  <c r="J173" i="51"/>
  <c r="Z165" i="51"/>
  <c r="U165" i="51"/>
  <c r="S165" i="51"/>
  <c r="Z164" i="51"/>
  <c r="U164" i="51"/>
  <c r="S164" i="51"/>
  <c r="Z170" i="51"/>
  <c r="R170" i="51"/>
  <c r="T170" i="51" s="1"/>
  <c r="O170" i="51"/>
  <c r="J170" i="51"/>
  <c r="Z169" i="51"/>
  <c r="J169" i="51"/>
  <c r="M169" i="51" s="1"/>
  <c r="Z168" i="51"/>
  <c r="R168" i="51"/>
  <c r="O168" i="51"/>
  <c r="J168" i="51"/>
  <c r="Z167" i="51"/>
  <c r="W167" i="51"/>
  <c r="R167" i="51"/>
  <c r="T167" i="51" s="1"/>
  <c r="O167" i="51"/>
  <c r="J167" i="51"/>
  <c r="Z166" i="51"/>
  <c r="R166" i="51"/>
  <c r="T166" i="51" s="1"/>
  <c r="O166" i="51"/>
  <c r="J166" i="51"/>
  <c r="Z327" i="51"/>
  <c r="R327" i="51"/>
  <c r="O327" i="51"/>
  <c r="J327" i="51"/>
  <c r="Z326" i="51"/>
  <c r="Z325" i="51"/>
  <c r="Z324" i="51"/>
  <c r="T324" i="51"/>
  <c r="O324" i="51"/>
  <c r="J324" i="51"/>
  <c r="Z323" i="51"/>
  <c r="Z322" i="51" s="1"/>
  <c r="T323" i="51"/>
  <c r="Y322" i="51"/>
  <c r="Y319" i="51" s="1"/>
  <c r="X322" i="51"/>
  <c r="X319" i="51" s="1"/>
  <c r="X318" i="51" s="1"/>
  <c r="W322" i="51"/>
  <c r="V322" i="51"/>
  <c r="U322" i="51"/>
  <c r="S322" i="51"/>
  <c r="R322" i="51"/>
  <c r="O322" i="51"/>
  <c r="J322" i="51"/>
  <c r="Z321" i="51"/>
  <c r="S321" i="51"/>
  <c r="T321" i="51" s="1"/>
  <c r="Z320" i="51"/>
  <c r="U320" i="51"/>
  <c r="S320" i="51"/>
  <c r="S319" i="51" s="1"/>
  <c r="R320" i="51"/>
  <c r="M320" i="51"/>
  <c r="O320" i="51" s="1"/>
  <c r="L320" i="51"/>
  <c r="L319" i="51" s="1"/>
  <c r="J320" i="51"/>
  <c r="W319" i="51"/>
  <c r="V319" i="51"/>
  <c r="U319" i="51"/>
  <c r="T319" i="51"/>
  <c r="Q319" i="51"/>
  <c r="P319" i="51"/>
  <c r="N319" i="51"/>
  <c r="K319" i="51"/>
  <c r="I319" i="51"/>
  <c r="H319" i="51"/>
  <c r="T331" i="51"/>
  <c r="U331" i="51"/>
  <c r="V331" i="51"/>
  <c r="W331" i="51"/>
  <c r="X331" i="51"/>
  <c r="Y331" i="51"/>
  <c r="M399" i="56"/>
  <c r="O399" i="56"/>
  <c r="L399" i="56"/>
  <c r="L393" i="56"/>
  <c r="L567" i="56"/>
  <c r="L566" i="56" s="1"/>
  <c r="O838" i="56"/>
  <c r="M563" i="56"/>
  <c r="O563" i="56"/>
  <c r="L563" i="56"/>
  <c r="N565" i="56"/>
  <c r="N404" i="56"/>
  <c r="N403" i="56"/>
  <c r="N402" i="56"/>
  <c r="N597" i="56"/>
  <c r="M589" i="56"/>
  <c r="O589" i="56"/>
  <c r="L589" i="56"/>
  <c r="N592" i="56"/>
  <c r="M803" i="56"/>
  <c r="O803" i="56"/>
  <c r="L803" i="56"/>
  <c r="N806" i="56"/>
  <c r="M800" i="56"/>
  <c r="O800" i="56"/>
  <c r="L800" i="56"/>
  <c r="N802" i="56"/>
  <c r="N799" i="56"/>
  <c r="M794" i="56"/>
  <c r="O794" i="56"/>
  <c r="L794" i="56"/>
  <c r="O584" i="56"/>
  <c r="N588" i="56"/>
  <c r="N587" i="56"/>
  <c r="N586" i="56"/>
  <c r="N585" i="56"/>
  <c r="M584" i="56"/>
  <c r="L584" i="56"/>
  <c r="O293" i="56"/>
  <c r="O296" i="56"/>
  <c r="N297" i="56"/>
  <c r="N296" i="56" s="1"/>
  <c r="M296" i="56"/>
  <c r="L296" i="56"/>
  <c r="N295" i="56"/>
  <c r="N294" i="56"/>
  <c r="M293" i="56"/>
  <c r="L293" i="56"/>
  <c r="Y308" i="51"/>
  <c r="X308" i="51"/>
  <c r="Z309" i="51"/>
  <c r="Z308" i="51" s="1"/>
  <c r="R309" i="51"/>
  <c r="O309" i="51"/>
  <c r="J309" i="51"/>
  <c r="M338" i="56"/>
  <c r="O338" i="56"/>
  <c r="L338" i="56"/>
  <c r="N342" i="56"/>
  <c r="N341" i="56"/>
  <c r="M550" i="56"/>
  <c r="O550" i="56"/>
  <c r="L550" i="56"/>
  <c r="N552" i="56"/>
  <c r="M422" i="56"/>
  <c r="O422" i="56"/>
  <c r="N425" i="56"/>
  <c r="L422" i="56"/>
  <c r="Y446" i="51"/>
  <c r="X446" i="51"/>
  <c r="M730" i="56"/>
  <c r="O730" i="56"/>
  <c r="L730" i="56"/>
  <c r="M727" i="56"/>
  <c r="O727" i="56"/>
  <c r="L727" i="56"/>
  <c r="N729" i="56"/>
  <c r="N732" i="56"/>
  <c r="M553" i="56"/>
  <c r="O553" i="56"/>
  <c r="L553" i="56"/>
  <c r="N561" i="56"/>
  <c r="N560" i="56"/>
  <c r="N559" i="56"/>
  <c r="N558" i="56"/>
  <c r="Z172" i="51" l="1"/>
  <c r="Y318" i="51"/>
  <c r="C60" i="15"/>
  <c r="Z184" i="51"/>
  <c r="X145" i="51"/>
  <c r="R319" i="51"/>
  <c r="O319" i="51"/>
  <c r="O174" i="51"/>
  <c r="J179" i="51"/>
  <c r="Z181" i="51"/>
  <c r="R176" i="51"/>
  <c r="M319" i="51"/>
  <c r="J319" i="51"/>
  <c r="O173" i="51"/>
  <c r="J176" i="51"/>
  <c r="T176" i="51"/>
  <c r="V177" i="51"/>
  <c r="L169" i="51"/>
  <c r="Z319" i="51"/>
  <c r="P169" i="51"/>
  <c r="R169" i="51" s="1"/>
  <c r="T169" i="51" s="1"/>
  <c r="O169" i="51"/>
  <c r="T322" i="51"/>
  <c r="N293" i="56"/>
  <c r="N584" i="56"/>
  <c r="M300" i="56"/>
  <c r="O300" i="56"/>
  <c r="L300" i="56"/>
  <c r="N302" i="56"/>
  <c r="N210" i="56"/>
  <c r="N209" i="56"/>
  <c r="N190" i="56"/>
  <c r="N189" i="56"/>
  <c r="N188" i="56" l="1"/>
  <c r="Z318" i="51"/>
  <c r="D60" i="15"/>
  <c r="Z145" i="51"/>
  <c r="X144" i="51"/>
  <c r="V176" i="51"/>
  <c r="X177" i="51"/>
  <c r="X176" i="51" s="1"/>
  <c r="Z144" i="51" l="1"/>
  <c r="Z177" i="51"/>
  <c r="C71" i="15"/>
  <c r="Z176" i="51" l="1"/>
  <c r="Y618" i="51"/>
  <c r="X618" i="51"/>
  <c r="Y635" i="51"/>
  <c r="X635" i="51"/>
  <c r="Y421" i="51" l="1"/>
  <c r="X421" i="51"/>
  <c r="J399" i="51" l="1"/>
  <c r="O399" i="51"/>
  <c r="R399" i="51"/>
  <c r="T399" i="51" s="1"/>
  <c r="Z399" i="51"/>
  <c r="Y459" i="51"/>
  <c r="X459" i="51"/>
  <c r="Z461" i="51"/>
  <c r="R461" i="51"/>
  <c r="T461" i="51" s="1"/>
  <c r="O461" i="51"/>
  <c r="J461" i="51"/>
  <c r="Y566" i="51"/>
  <c r="Z638" i="51"/>
  <c r="X779" i="51"/>
  <c r="Y779" i="51"/>
  <c r="Z785" i="51"/>
  <c r="S785" i="51"/>
  <c r="T785" i="51" s="1"/>
  <c r="Z784" i="51"/>
  <c r="S784" i="51"/>
  <c r="T784" i="51" s="1"/>
  <c r="Y869" i="51"/>
  <c r="X869" i="51"/>
  <c r="Z871" i="51"/>
  <c r="Y590" i="51"/>
  <c r="Y589" i="51" s="1"/>
  <c r="C13" i="15" s="1"/>
  <c r="X590" i="51"/>
  <c r="X589" i="51" s="1"/>
  <c r="Z592" i="51"/>
  <c r="R592" i="51"/>
  <c r="O592" i="51"/>
  <c r="Z426" i="51"/>
  <c r="T426" i="51"/>
  <c r="O426" i="51"/>
  <c r="J426" i="51"/>
  <c r="Z425" i="51"/>
  <c r="T425" i="51"/>
  <c r="O425" i="51"/>
  <c r="J425" i="51"/>
  <c r="Z424" i="51"/>
  <c r="T424" i="51"/>
  <c r="O424" i="51"/>
  <c r="J424" i="51"/>
  <c r="Z625" i="51"/>
  <c r="T625" i="51"/>
  <c r="M625" i="51"/>
  <c r="J625" i="51"/>
  <c r="Z624" i="51"/>
  <c r="T624" i="51"/>
  <c r="M624" i="51"/>
  <c r="J624" i="51"/>
  <c r="L624" i="51" s="1"/>
  <c r="Z619" i="51"/>
  <c r="T619" i="51"/>
  <c r="K619" i="51"/>
  <c r="I619" i="51"/>
  <c r="Y825" i="51"/>
  <c r="X825" i="51"/>
  <c r="Z827" i="51"/>
  <c r="Y828" i="51"/>
  <c r="X828" i="51"/>
  <c r="Z830" i="51"/>
  <c r="T830" i="51"/>
  <c r="X613" i="51"/>
  <c r="Z617" i="51"/>
  <c r="T617" i="51"/>
  <c r="V617" i="51" s="1"/>
  <c r="Q617" i="51"/>
  <c r="Q616" i="51" s="1"/>
  <c r="P617" i="51"/>
  <c r="P616" i="51" s="1"/>
  <c r="O617" i="51"/>
  <c r="N617" i="51"/>
  <c r="N616" i="51" s="1"/>
  <c r="M617" i="51"/>
  <c r="M616" i="51" s="1"/>
  <c r="L617" i="51"/>
  <c r="L616" i="51" s="1"/>
  <c r="K617" i="51"/>
  <c r="K616" i="51" s="1"/>
  <c r="J617" i="51"/>
  <c r="J616" i="51" s="1"/>
  <c r="I617" i="51"/>
  <c r="I616" i="51" s="1"/>
  <c r="Z616" i="51"/>
  <c r="T616" i="51"/>
  <c r="O616" i="51"/>
  <c r="Z615" i="51"/>
  <c r="Z614" i="51"/>
  <c r="T614" i="51"/>
  <c r="M614" i="51"/>
  <c r="O614" i="51" s="1"/>
  <c r="J614" i="51"/>
  <c r="L614" i="51" s="1"/>
  <c r="Y613" i="51"/>
  <c r="K613" i="51"/>
  <c r="I613" i="51"/>
  <c r="Z307" i="51"/>
  <c r="Z306" i="51"/>
  <c r="Y305" i="51"/>
  <c r="X305" i="51"/>
  <c r="Y358" i="51"/>
  <c r="X358" i="51"/>
  <c r="Z364" i="51"/>
  <c r="Z363" i="51"/>
  <c r="Y577" i="51"/>
  <c r="X577" i="51"/>
  <c r="Z579" i="51"/>
  <c r="R579" i="51"/>
  <c r="T579" i="51" s="1"/>
  <c r="O579" i="51"/>
  <c r="J579" i="51"/>
  <c r="C68" i="15"/>
  <c r="Z449" i="51"/>
  <c r="R449" i="51"/>
  <c r="S449" i="51" s="1"/>
  <c r="O449" i="51"/>
  <c r="J449" i="51"/>
  <c r="Y756" i="51"/>
  <c r="X756" i="51"/>
  <c r="Z758" i="51"/>
  <c r="R758" i="51"/>
  <c r="T758" i="51" s="1"/>
  <c r="N758" i="51"/>
  <c r="O758" i="51" s="1"/>
  <c r="J758" i="51"/>
  <c r="Y759" i="51"/>
  <c r="X759" i="51"/>
  <c r="Z761" i="51"/>
  <c r="R761" i="51"/>
  <c r="T761" i="51" s="1"/>
  <c r="O761" i="51"/>
  <c r="J761" i="51"/>
  <c r="Y580" i="51"/>
  <c r="X580" i="51"/>
  <c r="Z588" i="51"/>
  <c r="U588" i="51"/>
  <c r="R588" i="51"/>
  <c r="T588" i="51" s="1"/>
  <c r="O588" i="51"/>
  <c r="J588" i="51"/>
  <c r="Z587" i="51"/>
  <c r="U587" i="51"/>
  <c r="R587" i="51"/>
  <c r="T587" i="51" s="1"/>
  <c r="O587" i="51"/>
  <c r="J587" i="51"/>
  <c r="Z586" i="51"/>
  <c r="R586" i="51"/>
  <c r="T586" i="51" s="1"/>
  <c r="J586" i="51"/>
  <c r="L586" i="51" s="1"/>
  <c r="Z585" i="51"/>
  <c r="U585" i="51"/>
  <c r="R585" i="51"/>
  <c r="T585" i="51" s="1"/>
  <c r="O585" i="51"/>
  <c r="J585" i="51"/>
  <c r="Y314" i="51"/>
  <c r="Y313" i="51" s="1"/>
  <c r="Y312" i="51" s="1"/>
  <c r="X314" i="51"/>
  <c r="X313" i="51" s="1"/>
  <c r="X312" i="51" s="1"/>
  <c r="Z316" i="51"/>
  <c r="R316" i="51"/>
  <c r="T316" i="51" s="1"/>
  <c r="O316" i="51"/>
  <c r="J316" i="51"/>
  <c r="X831" i="51"/>
  <c r="Y831" i="51"/>
  <c r="Z834" i="51"/>
  <c r="T834" i="51"/>
  <c r="Z291" i="51"/>
  <c r="S291" i="51"/>
  <c r="T291" i="51" s="1"/>
  <c r="Z290" i="51"/>
  <c r="S290" i="51"/>
  <c r="T290" i="51" s="1"/>
  <c r="Z234" i="51"/>
  <c r="S234" i="51"/>
  <c r="T234" i="51" s="1"/>
  <c r="Z224" i="51"/>
  <c r="S224" i="51"/>
  <c r="T224" i="51" s="1"/>
  <c r="Z86" i="51"/>
  <c r="S86" i="51"/>
  <c r="O86" i="51"/>
  <c r="I86" i="51"/>
  <c r="J86" i="51" s="1"/>
  <c r="Z85" i="51"/>
  <c r="S85" i="51"/>
  <c r="O85" i="51"/>
  <c r="I85" i="51"/>
  <c r="J85" i="51" s="1"/>
  <c r="Z59" i="51"/>
  <c r="S59" i="51"/>
  <c r="T59" i="51" s="1"/>
  <c r="Y26" i="51"/>
  <c r="Z41" i="51"/>
  <c r="S41" i="51"/>
  <c r="X26" i="51"/>
  <c r="Z29" i="51"/>
  <c r="S29" i="51"/>
  <c r="R29" i="51"/>
  <c r="O29" i="51"/>
  <c r="Z21" i="51"/>
  <c r="S21" i="51"/>
  <c r="Z237" i="51"/>
  <c r="T237" i="51"/>
  <c r="O237" i="51"/>
  <c r="J237" i="51"/>
  <c r="Z236" i="51"/>
  <c r="Z235" i="51" s="1"/>
  <c r="T236" i="51"/>
  <c r="T235" i="51" s="1"/>
  <c r="Y235" i="51"/>
  <c r="X235" i="51"/>
  <c r="W235" i="51"/>
  <c r="V235" i="51"/>
  <c r="U235" i="51"/>
  <c r="S235" i="51"/>
  <c r="R235" i="51"/>
  <c r="O235" i="51"/>
  <c r="J235" i="51"/>
  <c r="Z227" i="51"/>
  <c r="T227" i="51"/>
  <c r="O227" i="51"/>
  <c r="J227" i="51"/>
  <c r="Z226" i="51"/>
  <c r="T226" i="51"/>
  <c r="Y225" i="51"/>
  <c r="Y221" i="51" s="1"/>
  <c r="X225" i="51"/>
  <c r="X221" i="51" s="1"/>
  <c r="W225" i="51"/>
  <c r="V225" i="51"/>
  <c r="U225" i="51"/>
  <c r="S225" i="51"/>
  <c r="R225" i="51"/>
  <c r="O225" i="51"/>
  <c r="J225" i="51"/>
  <c r="Y101" i="51"/>
  <c r="X101" i="51"/>
  <c r="Z105" i="51"/>
  <c r="R105" i="51"/>
  <c r="T105" i="51" s="1"/>
  <c r="O105" i="51"/>
  <c r="J105" i="51"/>
  <c r="Z104" i="51"/>
  <c r="Z49" i="51"/>
  <c r="T49" i="51"/>
  <c r="Z48" i="51"/>
  <c r="T48" i="51"/>
  <c r="Y47" i="51"/>
  <c r="X47" i="51"/>
  <c r="W47" i="51"/>
  <c r="V47" i="51"/>
  <c r="U47" i="51"/>
  <c r="S47" i="51"/>
  <c r="R47" i="51"/>
  <c r="Z225" i="51" l="1"/>
  <c r="T225" i="51"/>
  <c r="J613" i="51"/>
  <c r="N624" i="51"/>
  <c r="P624" i="51" s="1"/>
  <c r="O625" i="51"/>
  <c r="Q625" i="51" s="1"/>
  <c r="L625" i="51"/>
  <c r="O624" i="51"/>
  <c r="Q624" i="51" s="1"/>
  <c r="Z305" i="51"/>
  <c r="M613" i="51"/>
  <c r="Z613" i="51"/>
  <c r="O613" i="51"/>
  <c r="Q614" i="51"/>
  <c r="Q613" i="51" s="1"/>
  <c r="L613" i="51"/>
  <c r="N614" i="51"/>
  <c r="M586" i="51"/>
  <c r="O586" i="51" s="1"/>
  <c r="T449" i="51"/>
  <c r="U449" i="51" s="1"/>
  <c r="T47" i="51"/>
  <c r="Z47" i="51"/>
  <c r="Y442" i="51"/>
  <c r="X442" i="51"/>
  <c r="Z444" i="51"/>
  <c r="Z443" i="51"/>
  <c r="N625" i="51" l="1"/>
  <c r="P625" i="51" s="1"/>
  <c r="P614" i="51"/>
  <c r="P613" i="51" s="1"/>
  <c r="N613" i="51"/>
  <c r="V449" i="51"/>
  <c r="W449" i="51" s="1"/>
  <c r="Z442" i="51"/>
  <c r="L841" i="56" l="1"/>
  <c r="L840" i="56" s="1"/>
  <c r="L838" i="56"/>
  <c r="L833" i="56"/>
  <c r="L827" i="56" s="1"/>
  <c r="L826" i="56" s="1"/>
  <c r="L824" i="56"/>
  <c r="L823" i="56" s="1"/>
  <c r="L820" i="56"/>
  <c r="L817" i="56" s="1"/>
  <c r="L810" i="56"/>
  <c r="L807" i="56"/>
  <c r="L778" i="56"/>
  <c r="L774" i="56"/>
  <c r="L764" i="56"/>
  <c r="L750" i="56"/>
  <c r="L744" i="56"/>
  <c r="L733" i="56"/>
  <c r="L721" i="56"/>
  <c r="L660" i="56"/>
  <c r="L607" i="56"/>
  <c r="L604" i="56"/>
  <c r="L601" i="56"/>
  <c r="L599" i="56"/>
  <c r="L596" i="56"/>
  <c r="L593" i="56" s="1"/>
  <c r="L578" i="56"/>
  <c r="L575" i="56"/>
  <c r="L572" i="56"/>
  <c r="L570" i="56"/>
  <c r="L562" i="56"/>
  <c r="L547" i="56"/>
  <c r="L482" i="56"/>
  <c r="L475" i="56" s="1"/>
  <c r="L462" i="56"/>
  <c r="L461" i="56" s="1"/>
  <c r="L434" i="56"/>
  <c r="L430" i="56"/>
  <c r="L420" i="56"/>
  <c r="L418" i="56"/>
  <c r="L417" i="56" s="1"/>
  <c r="L407" i="56"/>
  <c r="L406" i="56" s="1"/>
  <c r="L396" i="56"/>
  <c r="L392" i="56" s="1"/>
  <c r="L385" i="56"/>
  <c r="L372" i="56"/>
  <c r="L343" i="56" s="1"/>
  <c r="L330" i="56"/>
  <c r="L299" i="56"/>
  <c r="L298" i="56" s="1"/>
  <c r="L287" i="56"/>
  <c r="L275" i="56" s="1"/>
  <c r="L271" i="56"/>
  <c r="L240" i="56"/>
  <c r="L220" i="56"/>
  <c r="L214" i="56"/>
  <c r="L208" i="56"/>
  <c r="L205" i="56"/>
  <c r="L200" i="56"/>
  <c r="L198" i="56"/>
  <c r="L195" i="56"/>
  <c r="L92" i="56"/>
  <c r="L91" i="56" s="1"/>
  <c r="L94" i="56"/>
  <c r="L90" i="56" s="1"/>
  <c r="L86" i="56"/>
  <c r="L85" i="56" s="1"/>
  <c r="L84" i="56" s="1"/>
  <c r="L70" i="56"/>
  <c r="L60" i="56"/>
  <c r="L56" i="56"/>
  <c r="L53" i="56"/>
  <c r="L48" i="56" s="1"/>
  <c r="L45" i="56"/>
  <c r="L42" i="56"/>
  <c r="L33" i="56"/>
  <c r="L31" i="56"/>
  <c r="L25" i="56"/>
  <c r="L14" i="56"/>
  <c r="L13" i="56" s="1"/>
  <c r="L12" i="56" s="1"/>
  <c r="L11" i="56" s="1"/>
  <c r="L18" i="56"/>
  <c r="Y605" i="51"/>
  <c r="X605" i="51"/>
  <c r="L145" i="56" l="1"/>
  <c r="L822" i="56"/>
  <c r="N596" i="56"/>
  <c r="L17" i="56"/>
  <c r="L16" i="56" s="1"/>
  <c r="L316" i="56"/>
  <c r="L59" i="56"/>
  <c r="L569" i="56"/>
  <c r="L37" i="56"/>
  <c r="L36" i="56" s="1"/>
  <c r="L212" i="56"/>
  <c r="L270" i="56"/>
  <c r="L245" i="56" s="1"/>
  <c r="L773" i="56"/>
  <c r="L772" i="56" s="1"/>
  <c r="L762" i="56" s="1"/>
  <c r="L30" i="56"/>
  <c r="Y850" i="51"/>
  <c r="X850" i="51"/>
  <c r="X62" i="51"/>
  <c r="X56" i="51" s="1"/>
  <c r="X44" i="51"/>
  <c r="L15" i="56" l="1"/>
  <c r="L35" i="56"/>
  <c r="L10" i="56" l="1"/>
  <c r="M53" i="56"/>
  <c r="M48" i="56" s="1"/>
  <c r="D25" i="46" l="1"/>
  <c r="Y809" i="51" l="1"/>
  <c r="Z576" i="51" l="1"/>
  <c r="Z710" i="51"/>
  <c r="Z66" i="51"/>
  <c r="Y599" i="51"/>
  <c r="Y594" i="51"/>
  <c r="Y593" i="51" s="1"/>
  <c r="C15" i="15" s="1"/>
  <c r="Z600" i="51"/>
  <c r="Z599" i="51" s="1"/>
  <c r="Z595" i="51"/>
  <c r="Z594" i="51" s="1"/>
  <c r="Z593" i="51" s="1"/>
  <c r="D15" i="15" s="1"/>
  <c r="X594" i="51"/>
  <c r="X593" i="51" s="1"/>
  <c r="Z591" i="51"/>
  <c r="Z239" i="51"/>
  <c r="Z98" i="51"/>
  <c r="Z152" i="51"/>
  <c r="Z158" i="51"/>
  <c r="Z102" i="51"/>
  <c r="Z155" i="51"/>
  <c r="Z24" i="51"/>
  <c r="Z25" i="51"/>
  <c r="Z19" i="51"/>
  <c r="Z27" i="51"/>
  <c r="Z28" i="51"/>
  <c r="Z30" i="51"/>
  <c r="Z39" i="51"/>
  <c r="Z40" i="51"/>
  <c r="Z42" i="51"/>
  <c r="Z43" i="51"/>
  <c r="Z57" i="51"/>
  <c r="Z58" i="51"/>
  <c r="Z60" i="51"/>
  <c r="Z67" i="51"/>
  <c r="Z71" i="51"/>
  <c r="Z70" i="51"/>
  <c r="Z72" i="51"/>
  <c r="Z76" i="51"/>
  <c r="Z77" i="51"/>
  <c r="Z74" i="51"/>
  <c r="Z75" i="51"/>
  <c r="Z78" i="51"/>
  <c r="J80" i="51"/>
  <c r="Z81" i="51"/>
  <c r="Z82" i="51"/>
  <c r="Z87" i="51"/>
  <c r="Z88" i="51"/>
  <c r="Z89" i="51"/>
  <c r="Z90" i="51"/>
  <c r="V91" i="51"/>
  <c r="X91" i="51" s="1"/>
  <c r="Z91" i="51" s="1"/>
  <c r="V92" i="51"/>
  <c r="X92" i="51" s="1"/>
  <c r="Z92" i="51" s="1"/>
  <c r="Z83" i="51"/>
  <c r="Z84" i="51"/>
  <c r="Z99" i="51"/>
  <c r="Z103" i="51"/>
  <c r="Z153" i="51"/>
  <c r="Z159" i="51"/>
  <c r="Z156" i="51"/>
  <c r="Z162" i="51"/>
  <c r="Z163" i="51"/>
  <c r="Z204" i="51"/>
  <c r="Z205" i="51"/>
  <c r="Z223" i="51"/>
  <c r="Z228" i="51"/>
  <c r="Z229" i="51"/>
  <c r="Z230" i="51"/>
  <c r="Z232" i="51"/>
  <c r="Z233" i="51"/>
  <c r="Z238" i="51"/>
  <c r="Z240" i="51"/>
  <c r="X430" i="51"/>
  <c r="Z430" i="51" s="1"/>
  <c r="Z429" i="51" s="1"/>
  <c r="Z428" i="51" s="1"/>
  <c r="X438" i="51"/>
  <c r="Z465" i="51"/>
  <c r="Z464" i="51" s="1"/>
  <c r="M208" i="56"/>
  <c r="N208" i="56"/>
  <c r="O208" i="56"/>
  <c r="O205" i="56"/>
  <c r="N612" i="56"/>
  <c r="N207" i="56"/>
  <c r="K207" i="56"/>
  <c r="N206" i="56"/>
  <c r="K206" i="56"/>
  <c r="M205" i="56"/>
  <c r="K205" i="56"/>
  <c r="J205" i="56"/>
  <c r="N204" i="56"/>
  <c r="N203" i="56" s="1"/>
  <c r="N554" i="56"/>
  <c r="N555" i="56"/>
  <c r="N556" i="56"/>
  <c r="N557" i="56"/>
  <c r="Z151" i="51"/>
  <c r="Z409" i="51"/>
  <c r="Z396" i="51"/>
  <c r="Z351" i="51"/>
  <c r="Z352" i="51"/>
  <c r="Z395" i="51"/>
  <c r="Z410" i="51"/>
  <c r="Z408" i="51"/>
  <c r="Z355" i="51"/>
  <c r="Z403" i="51"/>
  <c r="Z404" i="51"/>
  <c r="E9" i="48"/>
  <c r="F9" i="48"/>
  <c r="G9" i="48"/>
  <c r="I9" i="48"/>
  <c r="J9" i="48"/>
  <c r="K9" i="48"/>
  <c r="E9" i="49"/>
  <c r="F9" i="49"/>
  <c r="G9" i="49"/>
  <c r="Z514" i="51"/>
  <c r="Z513" i="51"/>
  <c r="Z499" i="51"/>
  <c r="Z496" i="51"/>
  <c r="Y835" i="51"/>
  <c r="X835" i="51"/>
  <c r="Z333" i="51"/>
  <c r="Z332" i="51"/>
  <c r="Y317" i="51"/>
  <c r="X317" i="51"/>
  <c r="W318" i="51"/>
  <c r="W317" i="51" s="1"/>
  <c r="U318" i="51"/>
  <c r="U317" i="51" s="1"/>
  <c r="T318" i="51"/>
  <c r="T317" i="51" s="1"/>
  <c r="Z244" i="51"/>
  <c r="Z243" i="51"/>
  <c r="Y242" i="51"/>
  <c r="Y231" i="51" s="1"/>
  <c r="X242" i="51"/>
  <c r="W242" i="51"/>
  <c r="V242" i="51"/>
  <c r="U242" i="51"/>
  <c r="T242" i="51"/>
  <c r="T156" i="51"/>
  <c r="O156" i="51"/>
  <c r="J156" i="51"/>
  <c r="T155" i="51"/>
  <c r="Y154" i="51"/>
  <c r="X154" i="51"/>
  <c r="W154" i="51"/>
  <c r="V154" i="51"/>
  <c r="U154" i="51"/>
  <c r="S154" i="51"/>
  <c r="R154" i="51"/>
  <c r="O154" i="51"/>
  <c r="J154" i="51"/>
  <c r="Y53" i="51"/>
  <c r="X53" i="51"/>
  <c r="Z55" i="51"/>
  <c r="Z54" i="51"/>
  <c r="E22" i="46"/>
  <c r="F22" i="46"/>
  <c r="G22" i="46"/>
  <c r="H22" i="46"/>
  <c r="I22" i="46"/>
  <c r="I27" i="46" s="1"/>
  <c r="J22" i="46"/>
  <c r="K22" i="46"/>
  <c r="Z460" i="51"/>
  <c r="Z459" i="51" s="1"/>
  <c r="O833" i="56"/>
  <c r="O827" i="56" s="1"/>
  <c r="O607" i="56"/>
  <c r="O750" i="56"/>
  <c r="N834" i="56"/>
  <c r="N837" i="56"/>
  <c r="O430" i="56"/>
  <c r="O220" i="56"/>
  <c r="O214" i="56"/>
  <c r="O53" i="56"/>
  <c r="O42" i="56"/>
  <c r="O45" i="56"/>
  <c r="N80" i="56"/>
  <c r="O80" i="56" s="1"/>
  <c r="N81" i="56"/>
  <c r="O81" i="56" s="1"/>
  <c r="O25" i="56"/>
  <c r="N44" i="56"/>
  <c r="N46" i="56"/>
  <c r="N47" i="56"/>
  <c r="N72" i="56"/>
  <c r="N73" i="56"/>
  <c r="N76" i="56"/>
  <c r="N77" i="56"/>
  <c r="N78" i="56"/>
  <c r="N79" i="56"/>
  <c r="N74" i="56"/>
  <c r="N75" i="56"/>
  <c r="C68" i="50"/>
  <c r="E68" i="50"/>
  <c r="N136" i="56"/>
  <c r="E9" i="54"/>
  <c r="E25" i="54" s="1"/>
  <c r="N340" i="56"/>
  <c r="N339" i="56"/>
  <c r="P10" i="45"/>
  <c r="L10" i="45"/>
  <c r="R103" i="51"/>
  <c r="O103" i="51"/>
  <c r="J103" i="51"/>
  <c r="Y100" i="51"/>
  <c r="X100" i="51"/>
  <c r="W101" i="51"/>
  <c r="W100" i="51" s="1"/>
  <c r="V101" i="51"/>
  <c r="V100" i="51" s="1"/>
  <c r="U101" i="51"/>
  <c r="U100" i="51" s="1"/>
  <c r="S101" i="51"/>
  <c r="S100" i="51" s="1"/>
  <c r="Q101" i="51"/>
  <c r="Q100" i="51" s="1"/>
  <c r="P101" i="51"/>
  <c r="P100" i="51" s="1"/>
  <c r="N101" i="51"/>
  <c r="N100" i="51" s="1"/>
  <c r="M101" i="51"/>
  <c r="M100" i="51" s="1"/>
  <c r="L101" i="51"/>
  <c r="L100" i="51" s="1"/>
  <c r="K101" i="51"/>
  <c r="K100" i="51" s="1"/>
  <c r="I101" i="51"/>
  <c r="I100" i="51" s="1"/>
  <c r="H101" i="51"/>
  <c r="G100" i="51"/>
  <c r="Z870" i="51"/>
  <c r="Z869" i="51" s="1"/>
  <c r="X157" i="51"/>
  <c r="X131" i="51" s="1"/>
  <c r="X130" i="51" s="1"/>
  <c r="N1007" i="56"/>
  <c r="N1006" i="56"/>
  <c r="N1005" i="56"/>
  <c r="N1004" i="56"/>
  <c r="K841" i="56"/>
  <c r="K840" i="56"/>
  <c r="N839" i="56"/>
  <c r="N838" i="56" s="1"/>
  <c r="K838" i="56"/>
  <c r="K833" i="56"/>
  <c r="N830" i="56"/>
  <c r="N829" i="56"/>
  <c r="N825" i="56"/>
  <c r="K824" i="56"/>
  <c r="K823" i="56"/>
  <c r="N821" i="56"/>
  <c r="N820" i="56" s="1"/>
  <c r="K820" i="56"/>
  <c r="K817" i="56"/>
  <c r="N812" i="56"/>
  <c r="N811" i="56"/>
  <c r="K810" i="56"/>
  <c r="N809" i="56"/>
  <c r="N808" i="56"/>
  <c r="K807" i="56"/>
  <c r="N805" i="56"/>
  <c r="N804" i="56"/>
  <c r="K803" i="56"/>
  <c r="N801" i="56"/>
  <c r="N800" i="56" s="1"/>
  <c r="K800" i="56"/>
  <c r="N798" i="56"/>
  <c r="N794" i="56" s="1"/>
  <c r="K794" i="56"/>
  <c r="N781" i="56"/>
  <c r="N779" i="56"/>
  <c r="K778" i="56"/>
  <c r="N775" i="56"/>
  <c r="K774" i="56"/>
  <c r="N771" i="56"/>
  <c r="N766" i="56"/>
  <c r="N765" i="56"/>
  <c r="K764" i="56"/>
  <c r="N760" i="56"/>
  <c r="N759" i="56"/>
  <c r="N758" i="56"/>
  <c r="N757" i="56"/>
  <c r="N756" i="56"/>
  <c r="N755" i="56"/>
  <c r="N754" i="56"/>
  <c r="N753" i="56"/>
  <c r="N752" i="56"/>
  <c r="N751" i="56"/>
  <c r="K750" i="56"/>
  <c r="N746" i="56"/>
  <c r="K744" i="56"/>
  <c r="N737" i="56"/>
  <c r="N734" i="56"/>
  <c r="N733" i="56" s="1"/>
  <c r="D29" i="50" s="1"/>
  <c r="K733" i="56"/>
  <c r="N731" i="56"/>
  <c r="N730" i="56" s="1"/>
  <c r="K730" i="56"/>
  <c r="N728" i="56"/>
  <c r="N727" i="56" s="1"/>
  <c r="K727" i="56"/>
  <c r="N725" i="56"/>
  <c r="N723" i="56"/>
  <c r="N722" i="56"/>
  <c r="K721" i="56"/>
  <c r="N681" i="56"/>
  <c r="N677" i="56"/>
  <c r="N676" i="56"/>
  <c r="N675" i="56"/>
  <c r="N674" i="56"/>
  <c r="N673" i="56"/>
  <c r="N672" i="56"/>
  <c r="N671" i="56"/>
  <c r="N663" i="56"/>
  <c r="N662" i="56"/>
  <c r="N661" i="56"/>
  <c r="K660" i="56"/>
  <c r="N611" i="56"/>
  <c r="N609" i="56"/>
  <c r="N608" i="56"/>
  <c r="K607" i="56"/>
  <c r="N605" i="56"/>
  <c r="N604" i="56" s="1"/>
  <c r="K604" i="56"/>
  <c r="N603" i="56"/>
  <c r="N602" i="56"/>
  <c r="K601" i="56"/>
  <c r="N600" i="56"/>
  <c r="N599" i="56" s="1"/>
  <c r="K599" i="56"/>
  <c r="K596" i="56"/>
  <c r="N595" i="56"/>
  <c r="N593" i="56" s="1"/>
  <c r="N594" i="56"/>
  <c r="K593" i="56"/>
  <c r="N591" i="56"/>
  <c r="N589" i="56" s="1"/>
  <c r="N583" i="56"/>
  <c r="N582" i="56"/>
  <c r="N581" i="56"/>
  <c r="N580" i="56"/>
  <c r="N579" i="56"/>
  <c r="K578" i="56"/>
  <c r="N577" i="56"/>
  <c r="N576" i="56"/>
  <c r="K575" i="56"/>
  <c r="N573" i="56"/>
  <c r="N572" i="56" s="1"/>
  <c r="K572" i="56"/>
  <c r="N571" i="56"/>
  <c r="N570" i="56" s="1"/>
  <c r="K570" i="56"/>
  <c r="K569" i="56"/>
  <c r="N564" i="56"/>
  <c r="K562" i="56"/>
  <c r="K563" i="56"/>
  <c r="K553" i="56"/>
  <c r="N551" i="56"/>
  <c r="N550" i="56" s="1"/>
  <c r="K550" i="56"/>
  <c r="N549" i="56"/>
  <c r="N548" i="56"/>
  <c r="K547" i="56"/>
  <c r="N546" i="56"/>
  <c r="N544" i="56"/>
  <c r="N543" i="56"/>
  <c r="N542" i="56"/>
  <c r="N541" i="56"/>
  <c r="N540" i="56"/>
  <c r="N539" i="56"/>
  <c r="N538" i="56"/>
  <c r="N537" i="56"/>
  <c r="N498" i="56"/>
  <c r="N497" i="56"/>
  <c r="N487" i="56"/>
  <c r="N486" i="56"/>
  <c r="N485" i="56"/>
  <c r="N484" i="56"/>
  <c r="N483" i="56"/>
  <c r="K482" i="56"/>
  <c r="K475" i="56"/>
  <c r="N471" i="56"/>
  <c r="N470" i="56"/>
  <c r="N469" i="56"/>
  <c r="N468" i="56"/>
  <c r="N467" i="56"/>
  <c r="N466" i="56"/>
  <c r="N464" i="56"/>
  <c r="N463" i="56"/>
  <c r="K462" i="56"/>
  <c r="K461" i="56"/>
  <c r="N435" i="56"/>
  <c r="N434" i="56" s="1"/>
  <c r="K434" i="56"/>
  <c r="N431" i="56"/>
  <c r="N430" i="56" s="1"/>
  <c r="K430" i="56"/>
  <c r="N429" i="56"/>
  <c r="N423" i="56"/>
  <c r="K422" i="56"/>
  <c r="N419" i="56"/>
  <c r="N418" i="56" s="1"/>
  <c r="N417" i="56" s="1"/>
  <c r="K417" i="56"/>
  <c r="K418" i="56"/>
  <c r="N408" i="56"/>
  <c r="N407" i="56" s="1"/>
  <c r="N406" i="56" s="1"/>
  <c r="K407" i="56"/>
  <c r="K406" i="56"/>
  <c r="K404" i="56"/>
  <c r="N401" i="56"/>
  <c r="N400" i="56"/>
  <c r="K399" i="56"/>
  <c r="N398" i="56"/>
  <c r="N397" i="56"/>
  <c r="K396" i="56"/>
  <c r="N395" i="56"/>
  <c r="N394" i="56"/>
  <c r="K392" i="56"/>
  <c r="K393" i="56"/>
  <c r="N390" i="56"/>
  <c r="N389" i="56"/>
  <c r="N388" i="56"/>
  <c r="N387" i="56"/>
  <c r="N386" i="56"/>
  <c r="K385" i="56"/>
  <c r="N382" i="56"/>
  <c r="N381" i="56"/>
  <c r="N380" i="56"/>
  <c r="N379" i="56"/>
  <c r="N378" i="56"/>
  <c r="N377" i="56"/>
  <c r="N376" i="56"/>
  <c r="N375" i="56"/>
  <c r="N374" i="56"/>
  <c r="N373" i="56"/>
  <c r="K372" i="56"/>
  <c r="K343" i="56"/>
  <c r="K338" i="56"/>
  <c r="N337" i="56"/>
  <c r="N336" i="56"/>
  <c r="N335" i="56"/>
  <c r="N334" i="56"/>
  <c r="N333" i="56"/>
  <c r="N332" i="56"/>
  <c r="N331" i="56"/>
  <c r="K330" i="56"/>
  <c r="N301" i="56"/>
  <c r="K299" i="56"/>
  <c r="K300" i="56"/>
  <c r="K298" i="56"/>
  <c r="N292" i="56"/>
  <c r="N291" i="56"/>
  <c r="N290" i="56"/>
  <c r="N289" i="56"/>
  <c r="K287" i="56"/>
  <c r="N285" i="56"/>
  <c r="N284" i="56"/>
  <c r="N283" i="56"/>
  <c r="N282" i="56"/>
  <c r="N281" i="56"/>
  <c r="N280" i="56"/>
  <c r="N279" i="56"/>
  <c r="N278" i="56"/>
  <c r="N277" i="56"/>
  <c r="N276" i="56"/>
  <c r="K275" i="56"/>
  <c r="N274" i="56"/>
  <c r="N273" i="56"/>
  <c r="N272" i="56"/>
  <c r="K271" i="56"/>
  <c r="K245" i="56"/>
  <c r="K270" i="56"/>
  <c r="N244" i="56"/>
  <c r="N241" i="56"/>
  <c r="N240" i="56" s="1"/>
  <c r="K240" i="56"/>
  <c r="N239" i="56"/>
  <c r="N224" i="56"/>
  <c r="N223" i="56"/>
  <c r="N222" i="56"/>
  <c r="N221" i="56"/>
  <c r="K220" i="56"/>
  <c r="N219" i="56"/>
  <c r="N218" i="56"/>
  <c r="N217" i="56"/>
  <c r="N216" i="56"/>
  <c r="N215" i="56"/>
  <c r="K214" i="56"/>
  <c r="N213" i="56"/>
  <c r="K212" i="56"/>
  <c r="K203" i="56"/>
  <c r="N202" i="56"/>
  <c r="N201" i="56"/>
  <c r="K200" i="56"/>
  <c r="N199" i="56"/>
  <c r="N198" i="56" s="1"/>
  <c r="K198" i="56"/>
  <c r="N197" i="56"/>
  <c r="N196" i="56"/>
  <c r="K195" i="56"/>
  <c r="N194" i="56"/>
  <c r="N193" i="56"/>
  <c r="N192" i="56"/>
  <c r="K191" i="56"/>
  <c r="K188" i="56"/>
  <c r="N187" i="56"/>
  <c r="N186" i="56"/>
  <c r="N147" i="56"/>
  <c r="N146" i="56"/>
  <c r="N140" i="56"/>
  <c r="N139" i="56"/>
  <c r="N138" i="56"/>
  <c r="N137" i="56"/>
  <c r="N135" i="56"/>
  <c r="N95" i="56"/>
  <c r="N94" i="56" s="1"/>
  <c r="K94" i="56"/>
  <c r="N88" i="56"/>
  <c r="N87" i="56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7" i="56"/>
  <c r="K56" i="56"/>
  <c r="N55" i="56"/>
  <c r="N54" i="56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N33" i="56" s="1"/>
  <c r="K33" i="56"/>
  <c r="N32" i="56"/>
  <c r="N31" i="56" s="1"/>
  <c r="K31" i="56"/>
  <c r="N29" i="56"/>
  <c r="N28" i="56"/>
  <c r="N27" i="56"/>
  <c r="N26" i="56"/>
  <c r="K25" i="56"/>
  <c r="N24" i="56"/>
  <c r="N23" i="56"/>
  <c r="K18" i="56"/>
  <c r="K22" i="56"/>
  <c r="N21" i="56"/>
  <c r="N20" i="56"/>
  <c r="N19" i="56"/>
  <c r="O14" i="56"/>
  <c r="O13" i="56" s="1"/>
  <c r="K13" i="56"/>
  <c r="K12" i="56"/>
  <c r="J603" i="56"/>
  <c r="K603" i="56" s="1"/>
  <c r="E71" i="50"/>
  <c r="D73" i="50"/>
  <c r="C71" i="50"/>
  <c r="O841" i="56"/>
  <c r="M841" i="56"/>
  <c r="M840" i="56" s="1"/>
  <c r="M838" i="56"/>
  <c r="M833" i="56"/>
  <c r="O824" i="56"/>
  <c r="O823" i="56" s="1"/>
  <c r="M824" i="56"/>
  <c r="M823" i="56" s="1"/>
  <c r="O820" i="56"/>
  <c r="O817" i="56" s="1"/>
  <c r="M820" i="56"/>
  <c r="M817" i="56" s="1"/>
  <c r="M814" i="56"/>
  <c r="M813" i="56" s="1"/>
  <c r="O810" i="56"/>
  <c r="M810" i="56"/>
  <c r="O807" i="56"/>
  <c r="M807" i="56"/>
  <c r="O778" i="56"/>
  <c r="M778" i="56"/>
  <c r="O774" i="56"/>
  <c r="M774" i="56"/>
  <c r="O764" i="56"/>
  <c r="M764" i="56"/>
  <c r="M750" i="56"/>
  <c r="M747" i="56"/>
  <c r="O744" i="56"/>
  <c r="M744" i="56"/>
  <c r="M740" i="56"/>
  <c r="O733" i="56"/>
  <c r="E29" i="50" s="1"/>
  <c r="M733" i="56"/>
  <c r="C29" i="50" s="1"/>
  <c r="M724" i="56"/>
  <c r="O721" i="56"/>
  <c r="M721" i="56"/>
  <c r="M679" i="56"/>
  <c r="M670" i="56" s="1"/>
  <c r="O660" i="56"/>
  <c r="M660" i="56"/>
  <c r="O604" i="56"/>
  <c r="M604" i="56"/>
  <c r="O601" i="56"/>
  <c r="O599" i="56"/>
  <c r="M599" i="56"/>
  <c r="M578" i="56"/>
  <c r="O575" i="56"/>
  <c r="M575" i="56"/>
  <c r="O572" i="56"/>
  <c r="M572" i="56"/>
  <c r="O570" i="56"/>
  <c r="M570" i="56"/>
  <c r="O562" i="56"/>
  <c r="E13" i="50" s="1"/>
  <c r="M562" i="56"/>
  <c r="C13" i="50" s="1"/>
  <c r="O547" i="56"/>
  <c r="M547" i="56"/>
  <c r="M501" i="56" s="1"/>
  <c r="M496" i="56"/>
  <c r="M490" i="56" s="1"/>
  <c r="C10" i="50" s="1"/>
  <c r="O482" i="56"/>
  <c r="O475" i="56" s="1"/>
  <c r="M482" i="56"/>
  <c r="M475" i="56" s="1"/>
  <c r="O462" i="56"/>
  <c r="O461" i="56" s="1"/>
  <c r="M462" i="56"/>
  <c r="M461" i="56" s="1"/>
  <c r="O434" i="56"/>
  <c r="M434" i="56"/>
  <c r="M430" i="56"/>
  <c r="M427" i="56"/>
  <c r="O420" i="56"/>
  <c r="N420" i="56"/>
  <c r="M420" i="56"/>
  <c r="O418" i="56"/>
  <c r="O417" i="56" s="1"/>
  <c r="M418" i="56"/>
  <c r="M417" i="56" s="1"/>
  <c r="M411" i="56"/>
  <c r="M410" i="56" s="1"/>
  <c r="M409" i="56" s="1"/>
  <c r="O407" i="56"/>
  <c r="O406" i="56" s="1"/>
  <c r="M407" i="56"/>
  <c r="M406" i="56" s="1"/>
  <c r="O396" i="56"/>
  <c r="M396" i="56"/>
  <c r="O393" i="56"/>
  <c r="M393" i="56"/>
  <c r="O385" i="56"/>
  <c r="M385" i="56"/>
  <c r="M384" i="56" s="1"/>
  <c r="O372" i="56"/>
  <c r="O343" i="56" s="1"/>
  <c r="M372" i="56"/>
  <c r="O330" i="56"/>
  <c r="M330" i="56"/>
  <c r="M316" i="56" s="1"/>
  <c r="M299" i="56"/>
  <c r="M298" i="56" s="1"/>
  <c r="O287" i="56"/>
  <c r="M287" i="56"/>
  <c r="M275" i="56" s="1"/>
  <c r="O271" i="56"/>
  <c r="M271" i="56"/>
  <c r="O240" i="56"/>
  <c r="M240" i="56"/>
  <c r="M220" i="56"/>
  <c r="M214" i="56"/>
  <c r="O200" i="56"/>
  <c r="M200" i="56"/>
  <c r="O198" i="56"/>
  <c r="M198" i="56"/>
  <c r="O195" i="56"/>
  <c r="M195" i="56"/>
  <c r="M141" i="56"/>
  <c r="O94" i="56"/>
  <c r="E59" i="50" s="1"/>
  <c r="E57" i="50" s="1"/>
  <c r="M94" i="56"/>
  <c r="M92" i="56"/>
  <c r="M91" i="56" s="1"/>
  <c r="C58" i="50" s="1"/>
  <c r="O86" i="56"/>
  <c r="M86" i="56"/>
  <c r="M85" i="56" s="1"/>
  <c r="M84" i="56" s="1"/>
  <c r="M82" i="56"/>
  <c r="O60" i="56"/>
  <c r="M60" i="56"/>
  <c r="O56" i="56"/>
  <c r="M56" i="56"/>
  <c r="M45" i="56"/>
  <c r="M42" i="56"/>
  <c r="O33" i="56"/>
  <c r="M33" i="56"/>
  <c r="O31" i="56"/>
  <c r="M31" i="56"/>
  <c r="M25" i="56"/>
  <c r="O22" i="56"/>
  <c r="M22" i="56"/>
  <c r="M18" i="56" s="1"/>
  <c r="Z1039" i="51"/>
  <c r="D71" i="15" s="1"/>
  <c r="Z1038" i="51"/>
  <c r="Z1037" i="51"/>
  <c r="Z1036" i="51"/>
  <c r="Y873" i="51"/>
  <c r="Z868" i="51"/>
  <c r="Z865" i="51"/>
  <c r="Y864" i="51"/>
  <c r="Z861" i="51"/>
  <c r="Y853" i="51"/>
  <c r="C52" i="15" s="1"/>
  <c r="Z851" i="51"/>
  <c r="Y847" i="51"/>
  <c r="Y844" i="51"/>
  <c r="Y843" i="51" s="1"/>
  <c r="C38" i="15" s="1"/>
  <c r="Y840" i="51"/>
  <c r="Z839" i="51"/>
  <c r="Z838" i="51"/>
  <c r="Y837" i="51"/>
  <c r="Z836" i="51"/>
  <c r="Z835" i="51" s="1"/>
  <c r="Z833" i="51"/>
  <c r="Z832" i="51"/>
  <c r="Z829" i="51"/>
  <c r="Z828" i="51" s="1"/>
  <c r="Z826" i="51"/>
  <c r="Z825" i="51" s="1"/>
  <c r="Z812" i="51"/>
  <c r="Z810" i="51"/>
  <c r="Y805" i="51"/>
  <c r="Y795" i="51"/>
  <c r="Z791" i="51"/>
  <c r="Z790" i="51"/>
  <c r="Z789" i="51"/>
  <c r="Z788" i="51"/>
  <c r="Z787" i="51"/>
  <c r="Z786" i="51"/>
  <c r="Z783" i="51"/>
  <c r="Z782" i="51"/>
  <c r="Z781" i="51"/>
  <c r="Z780" i="51"/>
  <c r="Y776" i="51"/>
  <c r="Z775" i="51"/>
  <c r="Z774" i="51"/>
  <c r="Y773" i="51"/>
  <c r="Y769" i="51"/>
  <c r="Z766" i="51"/>
  <c r="Z763" i="51"/>
  <c r="Y762" i="51"/>
  <c r="C29" i="15" s="1"/>
  <c r="Z760" i="51"/>
  <c r="Z759" i="51" s="1"/>
  <c r="Y753" i="51"/>
  <c r="Z752" i="51"/>
  <c r="Z751" i="51"/>
  <c r="Y750" i="51"/>
  <c r="Y721" i="51"/>
  <c r="C26" i="15" s="1"/>
  <c r="Z706" i="51"/>
  <c r="Z705" i="51"/>
  <c r="Z704" i="51"/>
  <c r="Z703" i="51"/>
  <c r="Z702" i="51"/>
  <c r="Z701" i="51"/>
  <c r="Z700" i="51"/>
  <c r="Y689" i="51"/>
  <c r="Z641" i="51"/>
  <c r="Z640" i="51"/>
  <c r="Z639" i="51"/>
  <c r="Z637" i="51"/>
  <c r="Z636" i="51"/>
  <c r="Y632" i="51"/>
  <c r="Y629" i="51"/>
  <c r="Y627" i="51"/>
  <c r="Z623" i="51"/>
  <c r="Z622" i="51"/>
  <c r="Z621" i="51" s="1"/>
  <c r="Z620" i="51"/>
  <c r="Z618" i="51" s="1"/>
  <c r="Z608" i="51"/>
  <c r="Z607" i="51"/>
  <c r="Z606" i="51"/>
  <c r="Y602" i="51"/>
  <c r="Y597" i="51"/>
  <c r="Z584" i="51"/>
  <c r="Z583" i="51"/>
  <c r="Z582" i="51"/>
  <c r="Z581" i="51"/>
  <c r="Z578" i="51"/>
  <c r="Z577" i="51" s="1"/>
  <c r="Z574" i="51"/>
  <c r="Z573" i="51"/>
  <c r="Z572" i="51"/>
  <c r="Z571" i="51"/>
  <c r="Z570" i="51"/>
  <c r="Z569" i="51"/>
  <c r="Z568" i="51"/>
  <c r="Z567" i="51"/>
  <c r="Z528" i="51"/>
  <c r="Z527" i="51"/>
  <c r="Y526" i="51"/>
  <c r="Y520" i="51" s="1"/>
  <c r="Z517" i="51"/>
  <c r="Z516" i="51"/>
  <c r="Z515" i="51"/>
  <c r="Y512" i="51"/>
  <c r="Y505" i="51" s="1"/>
  <c r="Z501" i="51"/>
  <c r="Z500" i="51"/>
  <c r="Z498" i="51"/>
  <c r="Z497" i="51"/>
  <c r="Z494" i="51"/>
  <c r="Z493" i="51"/>
  <c r="Y492" i="51"/>
  <c r="Y491" i="51" s="1"/>
  <c r="Z458" i="51"/>
  <c r="Y456" i="51"/>
  <c r="Z447" i="51"/>
  <c r="Z441" i="51"/>
  <c r="Z440" i="51" s="1"/>
  <c r="Z439" i="51" s="1"/>
  <c r="Y440" i="51"/>
  <c r="Y439" i="51" s="1"/>
  <c r="Y437" i="51"/>
  <c r="Y436" i="51" s="1"/>
  <c r="Y435" i="51" s="1"/>
  <c r="Y433" i="51"/>
  <c r="Y432" i="51" s="1"/>
  <c r="Y429" i="51"/>
  <c r="Y428" i="51" s="1"/>
  <c r="Z423" i="51"/>
  <c r="Z422" i="51"/>
  <c r="Z420" i="51"/>
  <c r="Z419" i="51"/>
  <c r="Y418" i="51"/>
  <c r="Z417" i="51"/>
  <c r="Z416" i="51"/>
  <c r="Y415" i="51"/>
  <c r="Z413" i="51"/>
  <c r="Z412" i="51"/>
  <c r="Z411" i="51"/>
  <c r="Z402" i="51"/>
  <c r="Z401" i="51"/>
  <c r="Z400" i="51"/>
  <c r="Z398" i="51"/>
  <c r="Z397" i="51"/>
  <c r="Z362" i="51"/>
  <c r="Z361" i="51"/>
  <c r="Z360" i="51"/>
  <c r="Z359" i="51"/>
  <c r="Z357" i="51"/>
  <c r="Z356" i="51"/>
  <c r="Z354" i="51"/>
  <c r="Z353" i="51"/>
  <c r="Z315" i="51"/>
  <c r="Z304" i="51"/>
  <c r="Z303" i="51"/>
  <c r="Z302" i="51"/>
  <c r="Z301" i="51"/>
  <c r="Y299" i="51"/>
  <c r="Y285" i="51" s="1"/>
  <c r="Z297" i="51"/>
  <c r="Z296" i="51"/>
  <c r="Z295" i="51"/>
  <c r="Z294" i="51"/>
  <c r="Z293" i="51"/>
  <c r="Z292" i="51"/>
  <c r="Z289" i="51"/>
  <c r="Z288" i="51"/>
  <c r="Z287" i="51"/>
  <c r="Z286" i="51"/>
  <c r="Z284" i="51"/>
  <c r="Z283" i="51"/>
  <c r="Z282" i="51"/>
  <c r="Y281" i="51"/>
  <c r="Z254" i="51"/>
  <c r="Z251" i="51"/>
  <c r="Z250" i="51" s="1"/>
  <c r="Y250" i="51"/>
  <c r="Z249" i="51"/>
  <c r="Z222" i="51"/>
  <c r="Z217" i="51"/>
  <c r="Z216" i="51" s="1"/>
  <c r="Y216" i="51"/>
  <c r="Z215" i="51"/>
  <c r="Z214" i="51"/>
  <c r="Y213" i="51"/>
  <c r="Z212" i="51"/>
  <c r="Z211" i="51"/>
  <c r="Y210" i="51"/>
  <c r="Z209" i="51"/>
  <c r="Z208" i="51"/>
  <c r="Y207" i="51"/>
  <c r="Y157" i="51"/>
  <c r="Y131" i="51" s="1"/>
  <c r="Y130" i="51" s="1"/>
  <c r="Y110" i="51"/>
  <c r="Y108" i="51"/>
  <c r="Y107" i="51" s="1"/>
  <c r="C58" i="15" s="1"/>
  <c r="Y97" i="51"/>
  <c r="Y96" i="51" s="1"/>
  <c r="Y93" i="51"/>
  <c r="Y69" i="51"/>
  <c r="Y65" i="51"/>
  <c r="Z64" i="51"/>
  <c r="Z63" i="51"/>
  <c r="Y62" i="51"/>
  <c r="Y56" i="51" s="1"/>
  <c r="Z61" i="51"/>
  <c r="Y50" i="51"/>
  <c r="Z46" i="51"/>
  <c r="Z45" i="51"/>
  <c r="Y44" i="51"/>
  <c r="Y34" i="51"/>
  <c r="Z33" i="51"/>
  <c r="Z32" i="51" s="1"/>
  <c r="Y32" i="51"/>
  <c r="Y23" i="51"/>
  <c r="Y18" i="51" s="1"/>
  <c r="Z22" i="51"/>
  <c r="Z20" i="51"/>
  <c r="K36" i="56"/>
  <c r="K403" i="56"/>
  <c r="K773" i="56"/>
  <c r="K11" i="56"/>
  <c r="K30" i="56"/>
  <c r="K37" i="56"/>
  <c r="K827" i="56"/>
  <c r="M607" i="56"/>
  <c r="Y350" i="51"/>
  <c r="Y336" i="51" s="1"/>
  <c r="Y407" i="51"/>
  <c r="Y406" i="51" s="1"/>
  <c r="Y394" i="51"/>
  <c r="Y365" i="51" s="1"/>
  <c r="Y464" i="51"/>
  <c r="W812" i="51"/>
  <c r="W810" i="51"/>
  <c r="K826" i="56"/>
  <c r="K17" i="56"/>
  <c r="K402" i="56"/>
  <c r="K772" i="56"/>
  <c r="W204" i="51"/>
  <c r="W294" i="51"/>
  <c r="K16" i="56"/>
  <c r="K822" i="56"/>
  <c r="J42" i="56"/>
  <c r="K15" i="56"/>
  <c r="W62" i="51"/>
  <c r="W56" i="51" s="1"/>
  <c r="J578" i="56"/>
  <c r="K582" i="56"/>
  <c r="K583" i="56"/>
  <c r="W572" i="51"/>
  <c r="W566" i="51" s="1"/>
  <c r="W465" i="51"/>
  <c r="W464" i="51" s="1"/>
  <c r="W409" i="51"/>
  <c r="W408" i="51"/>
  <c r="W396" i="51"/>
  <c r="W395" i="51"/>
  <c r="W352" i="51"/>
  <c r="W351" i="51"/>
  <c r="J608" i="56"/>
  <c r="W854" i="51"/>
  <c r="W853" i="51" s="1"/>
  <c r="W358" i="51"/>
  <c r="V358" i="51"/>
  <c r="I11" i="44"/>
  <c r="J542" i="56"/>
  <c r="X611" i="51"/>
  <c r="Z611" i="51" s="1"/>
  <c r="X612" i="51"/>
  <c r="Z612" i="51" s="1"/>
  <c r="T836" i="51"/>
  <c r="T835" i="51" s="1"/>
  <c r="W835" i="51"/>
  <c r="V835" i="51"/>
  <c r="U835" i="51"/>
  <c r="S835" i="51"/>
  <c r="R835" i="51"/>
  <c r="J838" i="56"/>
  <c r="K839" i="56"/>
  <c r="W605" i="51"/>
  <c r="Z609" i="51"/>
  <c r="D18" i="47"/>
  <c r="K728" i="56"/>
  <c r="W459" i="51"/>
  <c r="I18" i="44"/>
  <c r="W437" i="51"/>
  <c r="W436" i="51" s="1"/>
  <c r="W435" i="51" s="1"/>
  <c r="V437" i="51"/>
  <c r="V436" i="51" s="1"/>
  <c r="V435" i="51" s="1"/>
  <c r="E73" i="50"/>
  <c r="K837" i="56"/>
  <c r="K834" i="56"/>
  <c r="K1007" i="56"/>
  <c r="K29" i="56"/>
  <c r="K1006" i="56"/>
  <c r="K1005" i="56"/>
  <c r="K1004" i="56"/>
  <c r="J841" i="56"/>
  <c r="J840" i="56" s="1"/>
  <c r="J833" i="56"/>
  <c r="K830" i="56"/>
  <c r="K829" i="56"/>
  <c r="K825" i="56"/>
  <c r="J824" i="56"/>
  <c r="J823" i="56" s="1"/>
  <c r="K821" i="56"/>
  <c r="J820" i="56"/>
  <c r="J817" i="56" s="1"/>
  <c r="K816" i="56"/>
  <c r="L816" i="56" s="1"/>
  <c r="N816" i="56" s="1"/>
  <c r="O816" i="56" s="1"/>
  <c r="J814" i="56"/>
  <c r="J813" i="56" s="1"/>
  <c r="K812" i="56"/>
  <c r="K811" i="56"/>
  <c r="J810" i="56"/>
  <c r="K809" i="56"/>
  <c r="K808" i="56"/>
  <c r="J807" i="56"/>
  <c r="K805" i="56"/>
  <c r="K804" i="56"/>
  <c r="J803" i="56"/>
  <c r="K801" i="56"/>
  <c r="J800" i="56"/>
  <c r="K798" i="56"/>
  <c r="J794" i="56"/>
  <c r="K781" i="56"/>
  <c r="K779" i="56"/>
  <c r="J778" i="56"/>
  <c r="K775" i="56"/>
  <c r="J774" i="56"/>
  <c r="K771" i="56"/>
  <c r="K766" i="56"/>
  <c r="K765" i="56"/>
  <c r="J764" i="56"/>
  <c r="K761" i="56"/>
  <c r="L761" i="56" s="1"/>
  <c r="N761" i="56" s="1"/>
  <c r="O761" i="56" s="1"/>
  <c r="K760" i="56"/>
  <c r="K759" i="56"/>
  <c r="K758" i="56"/>
  <c r="K757" i="56"/>
  <c r="K756" i="56"/>
  <c r="K755" i="56"/>
  <c r="K754" i="56"/>
  <c r="K753" i="56"/>
  <c r="K752" i="56"/>
  <c r="K751" i="56"/>
  <c r="J750" i="56"/>
  <c r="J747" i="56"/>
  <c r="K746" i="56"/>
  <c r="K745" i="56"/>
  <c r="J744" i="56"/>
  <c r="J740" i="56"/>
  <c r="K737" i="56"/>
  <c r="K734" i="56"/>
  <c r="J733" i="56"/>
  <c r="K731" i="56"/>
  <c r="J730" i="56"/>
  <c r="J727" i="56"/>
  <c r="K725" i="56"/>
  <c r="J724" i="56"/>
  <c r="K723" i="56"/>
  <c r="K722" i="56"/>
  <c r="J721" i="56"/>
  <c r="J718" i="56"/>
  <c r="L718" i="56" s="1"/>
  <c r="M718" i="56" s="1"/>
  <c r="O718" i="56" s="1"/>
  <c r="J692" i="56"/>
  <c r="K681" i="56"/>
  <c r="J679" i="56"/>
  <c r="J670" i="56" s="1"/>
  <c r="K678" i="56"/>
  <c r="L678" i="56" s="1"/>
  <c r="N678" i="56" s="1"/>
  <c r="O678" i="56" s="1"/>
  <c r="K677" i="56"/>
  <c r="K676" i="56"/>
  <c r="K675" i="56"/>
  <c r="K674" i="56"/>
  <c r="K673" i="56"/>
  <c r="K672" i="56"/>
  <c r="K671" i="56"/>
  <c r="K663" i="56"/>
  <c r="K662" i="56"/>
  <c r="K661" i="56"/>
  <c r="J660" i="56"/>
  <c r="J645" i="56"/>
  <c r="L645" i="56" s="1"/>
  <c r="N645" i="56" s="1"/>
  <c r="K645" i="56"/>
  <c r="J644" i="56"/>
  <c r="L644" i="56" s="1"/>
  <c r="M644" i="56" s="1"/>
  <c r="O644" i="56" s="1"/>
  <c r="K633" i="56"/>
  <c r="L633" i="56" s="1"/>
  <c r="N633" i="56" s="1"/>
  <c r="O633" i="56" s="1"/>
  <c r="K632" i="56"/>
  <c r="L632" i="56" s="1"/>
  <c r="N632" i="56" s="1"/>
  <c r="O632" i="56" s="1"/>
  <c r="K631" i="56"/>
  <c r="L631" i="56" s="1"/>
  <c r="N631" i="56" s="1"/>
  <c r="O631" i="56" s="1"/>
  <c r="K629" i="56"/>
  <c r="L629" i="56" s="1"/>
  <c r="N629" i="56" s="1"/>
  <c r="O629" i="56" s="1"/>
  <c r="K628" i="56"/>
  <c r="L628" i="56" s="1"/>
  <c r="N628" i="56" s="1"/>
  <c r="O628" i="56" s="1"/>
  <c r="K623" i="56"/>
  <c r="L623" i="56" s="1"/>
  <c r="N623" i="56" s="1"/>
  <c r="O623" i="56" s="1"/>
  <c r="K621" i="56"/>
  <c r="L621" i="56" s="1"/>
  <c r="N621" i="56" s="1"/>
  <c r="O621" i="56" s="1"/>
  <c r="K620" i="56"/>
  <c r="L620" i="56" s="1"/>
  <c r="N620" i="56" s="1"/>
  <c r="O620" i="56" s="1"/>
  <c r="K619" i="56"/>
  <c r="L619" i="56" s="1"/>
  <c r="N619" i="56" s="1"/>
  <c r="O619" i="56" s="1"/>
  <c r="K618" i="56"/>
  <c r="L618" i="56" s="1"/>
  <c r="N618" i="56" s="1"/>
  <c r="O618" i="56" s="1"/>
  <c r="K616" i="56"/>
  <c r="L616" i="56" s="1"/>
  <c r="N616" i="56" s="1"/>
  <c r="O616" i="56" s="1"/>
  <c r="K615" i="56"/>
  <c r="L615" i="56" s="1"/>
  <c r="N615" i="56" s="1"/>
  <c r="O615" i="56" s="1"/>
  <c r="K612" i="56"/>
  <c r="K611" i="56"/>
  <c r="K610" i="56"/>
  <c r="K609" i="56"/>
  <c r="K606" i="56"/>
  <c r="L606" i="56" s="1"/>
  <c r="N606" i="56" s="1"/>
  <c r="O606" i="56" s="1"/>
  <c r="K605" i="56"/>
  <c r="J604" i="56"/>
  <c r="K602" i="56"/>
  <c r="K600" i="56"/>
  <c r="J599" i="56"/>
  <c r="K597" i="56"/>
  <c r="J596" i="56"/>
  <c r="K595" i="56"/>
  <c r="K594" i="56"/>
  <c r="J593" i="56"/>
  <c r="K591" i="56"/>
  <c r="K590" i="56"/>
  <c r="L590" i="56" s="1"/>
  <c r="J589" i="56"/>
  <c r="K581" i="56"/>
  <c r="K580" i="56"/>
  <c r="K579" i="56"/>
  <c r="K577" i="56"/>
  <c r="K576" i="56"/>
  <c r="J575" i="56"/>
  <c r="K573" i="56"/>
  <c r="J572" i="56"/>
  <c r="K571" i="56"/>
  <c r="J570" i="56"/>
  <c r="K564" i="56"/>
  <c r="J563" i="56"/>
  <c r="J562" i="56" s="1"/>
  <c r="K557" i="56"/>
  <c r="K556" i="56"/>
  <c r="K555" i="56"/>
  <c r="K554" i="56"/>
  <c r="J553" i="56"/>
  <c r="K551" i="56"/>
  <c r="J550" i="56"/>
  <c r="K549" i="56"/>
  <c r="K548" i="56"/>
  <c r="J547" i="56"/>
  <c r="K546" i="56"/>
  <c r="K544" i="56"/>
  <c r="K543" i="56"/>
  <c r="K541" i="56"/>
  <c r="K540" i="56"/>
  <c r="K539" i="56"/>
  <c r="K538" i="56"/>
  <c r="K537" i="56"/>
  <c r="J535" i="56"/>
  <c r="L535" i="56" s="1"/>
  <c r="K535" i="56"/>
  <c r="J534" i="56"/>
  <c r="L534" i="56" s="1"/>
  <c r="N534" i="56" s="1"/>
  <c r="K534" i="56"/>
  <c r="J533" i="56"/>
  <c r="L533" i="56" s="1"/>
  <c r="K533" i="56"/>
  <c r="J532" i="56"/>
  <c r="K532" i="56"/>
  <c r="J531" i="56"/>
  <c r="L531" i="56" s="1"/>
  <c r="M531" i="56" s="1"/>
  <c r="O531" i="56" s="1"/>
  <c r="K531" i="56"/>
  <c r="J523" i="56"/>
  <c r="L523" i="56" s="1"/>
  <c r="N523" i="56" s="1"/>
  <c r="K523" i="56"/>
  <c r="K522" i="56"/>
  <c r="K500" i="56"/>
  <c r="L500" i="56" s="1"/>
  <c r="K499" i="56"/>
  <c r="L499" i="56" s="1"/>
  <c r="N499" i="56" s="1"/>
  <c r="O499" i="56" s="1"/>
  <c r="K498" i="56"/>
  <c r="K497" i="56"/>
  <c r="J496" i="56"/>
  <c r="J490" i="56" s="1"/>
  <c r="K487" i="56"/>
  <c r="K486" i="56"/>
  <c r="K485" i="56"/>
  <c r="K484" i="56"/>
  <c r="K483" i="56"/>
  <c r="J482" i="56"/>
  <c r="J475" i="56" s="1"/>
  <c r="J480" i="56"/>
  <c r="L480" i="56" s="1"/>
  <c r="N480" i="56" s="1"/>
  <c r="K480" i="56"/>
  <c r="K479" i="56"/>
  <c r="J478" i="56"/>
  <c r="L478" i="56" s="1"/>
  <c r="N478" i="56" s="1"/>
  <c r="K471" i="56"/>
  <c r="K470" i="56"/>
  <c r="K469" i="56"/>
  <c r="K468" i="56"/>
  <c r="K467" i="56"/>
  <c r="K466" i="56"/>
  <c r="K464" i="56"/>
  <c r="K463" i="56"/>
  <c r="J462" i="56"/>
  <c r="J461" i="56" s="1"/>
  <c r="J460" i="56"/>
  <c r="L460" i="56" s="1"/>
  <c r="N460" i="56" s="1"/>
  <c r="K460" i="56"/>
  <c r="J459" i="56"/>
  <c r="L459" i="56" s="1"/>
  <c r="N459" i="56" s="1"/>
  <c r="K459" i="56"/>
  <c r="J458" i="56"/>
  <c r="L458" i="56" s="1"/>
  <c r="N458" i="56" s="1"/>
  <c r="K458" i="56"/>
  <c r="J457" i="56"/>
  <c r="L457" i="56" s="1"/>
  <c r="N457" i="56" s="1"/>
  <c r="K457" i="56"/>
  <c r="K435" i="56"/>
  <c r="J434" i="56"/>
  <c r="K431" i="56"/>
  <c r="J430" i="56"/>
  <c r="K429" i="56"/>
  <c r="J427" i="56"/>
  <c r="K423" i="56"/>
  <c r="J422" i="56"/>
  <c r="K420" i="56"/>
  <c r="J420" i="56"/>
  <c r="K419" i="56"/>
  <c r="J418" i="56"/>
  <c r="J417" i="56" s="1"/>
  <c r="J411" i="56"/>
  <c r="J410" i="56" s="1"/>
  <c r="J409" i="56" s="1"/>
  <c r="K408" i="56"/>
  <c r="J407" i="56"/>
  <c r="J406" i="56" s="1"/>
  <c r="J404" i="56"/>
  <c r="J403" i="56" s="1"/>
  <c r="J402" i="56" s="1"/>
  <c r="K401" i="56"/>
  <c r="K400" i="56"/>
  <c r="J399" i="56"/>
  <c r="K398" i="56"/>
  <c r="K397" i="56"/>
  <c r="J396" i="56"/>
  <c r="K395" i="56"/>
  <c r="K394" i="56"/>
  <c r="J393" i="56"/>
  <c r="K390" i="56"/>
  <c r="K389" i="56"/>
  <c r="K388" i="56"/>
  <c r="K387" i="56"/>
  <c r="K386" i="56"/>
  <c r="J385" i="56"/>
  <c r="J384" i="56" s="1"/>
  <c r="K383" i="56"/>
  <c r="L383" i="56" s="1"/>
  <c r="N383" i="56" s="1"/>
  <c r="O383" i="56" s="1"/>
  <c r="K382" i="56"/>
  <c r="K381" i="56"/>
  <c r="K380" i="56"/>
  <c r="K379" i="56"/>
  <c r="K378" i="56"/>
  <c r="K377" i="56"/>
  <c r="K376" i="56"/>
  <c r="K375" i="56"/>
  <c r="K374" i="56"/>
  <c r="K373" i="56"/>
  <c r="J372" i="56"/>
  <c r="J343" i="56" s="1"/>
  <c r="J371" i="56"/>
  <c r="L371" i="56" s="1"/>
  <c r="M371" i="56" s="1"/>
  <c r="O371" i="56" s="1"/>
  <c r="K371" i="56"/>
  <c r="J370" i="56"/>
  <c r="L370" i="56" s="1"/>
  <c r="K370" i="56"/>
  <c r="J369" i="56"/>
  <c r="L369" i="56" s="1"/>
  <c r="M369" i="56" s="1"/>
  <c r="O369" i="56" s="1"/>
  <c r="K369" i="56"/>
  <c r="J368" i="56"/>
  <c r="L368" i="56" s="1"/>
  <c r="K368" i="56"/>
  <c r="J367" i="56"/>
  <c r="L367" i="56" s="1"/>
  <c r="M367" i="56" s="1"/>
  <c r="K367" i="56"/>
  <c r="J338" i="56"/>
  <c r="K337" i="56"/>
  <c r="K336" i="56"/>
  <c r="K335" i="56"/>
  <c r="K334" i="56"/>
  <c r="K333" i="56"/>
  <c r="K332" i="56"/>
  <c r="K331" i="56"/>
  <c r="J330" i="56"/>
  <c r="J316" i="56" s="1"/>
  <c r="J329" i="56"/>
  <c r="L329" i="56" s="1"/>
  <c r="N329" i="56" s="1"/>
  <c r="K329" i="56"/>
  <c r="J328" i="56"/>
  <c r="L328" i="56" s="1"/>
  <c r="M328" i="56" s="1"/>
  <c r="O328" i="56" s="1"/>
  <c r="K328" i="56"/>
  <c r="J327" i="56"/>
  <c r="L327" i="56" s="1"/>
  <c r="K327" i="56"/>
  <c r="K301" i="56"/>
  <c r="J300" i="56"/>
  <c r="J299" i="56" s="1"/>
  <c r="J298" i="56" s="1"/>
  <c r="K292" i="56"/>
  <c r="K291" i="56"/>
  <c r="K290" i="56"/>
  <c r="K289" i="56"/>
  <c r="J287" i="56"/>
  <c r="J275" i="56" s="1"/>
  <c r="K285" i="56"/>
  <c r="K284" i="56"/>
  <c r="K283" i="56"/>
  <c r="K282" i="56"/>
  <c r="K281" i="56"/>
  <c r="K280" i="56"/>
  <c r="K279" i="56"/>
  <c r="K278" i="56"/>
  <c r="K277" i="56"/>
  <c r="K276" i="56"/>
  <c r="K274" i="56"/>
  <c r="K273" i="56"/>
  <c r="K272" i="56"/>
  <c r="J271" i="56"/>
  <c r="J261" i="56"/>
  <c r="L261" i="56" s="1"/>
  <c r="N261" i="56" s="1"/>
  <c r="K261" i="56"/>
  <c r="J260" i="56"/>
  <c r="L260" i="56" s="1"/>
  <c r="K260" i="56"/>
  <c r="J259" i="56"/>
  <c r="L259" i="56" s="1"/>
  <c r="N259" i="56" s="1"/>
  <c r="K259" i="56"/>
  <c r="J258" i="56"/>
  <c r="K258" i="56"/>
  <c r="J257" i="56"/>
  <c r="L257" i="56" s="1"/>
  <c r="N257" i="56" s="1"/>
  <c r="K244" i="56"/>
  <c r="K241" i="56"/>
  <c r="J240" i="56"/>
  <c r="K239" i="56"/>
  <c r="K224" i="56"/>
  <c r="K223" i="56"/>
  <c r="K222" i="56"/>
  <c r="K221" i="56"/>
  <c r="J220" i="56"/>
  <c r="K219" i="56"/>
  <c r="K218" i="56"/>
  <c r="K217" i="56"/>
  <c r="K216" i="56"/>
  <c r="K215" i="56"/>
  <c r="J214" i="56"/>
  <c r="K213" i="56"/>
  <c r="K204" i="56"/>
  <c r="J203" i="56"/>
  <c r="K202" i="56"/>
  <c r="K201" i="56"/>
  <c r="J200" i="56"/>
  <c r="K199" i="56"/>
  <c r="J198" i="56"/>
  <c r="K197" i="56"/>
  <c r="K196" i="56"/>
  <c r="J195" i="56"/>
  <c r="K194" i="56"/>
  <c r="K193" i="56"/>
  <c r="K192" i="56"/>
  <c r="J191" i="56"/>
  <c r="K190" i="56"/>
  <c r="K189" i="56"/>
  <c r="J188" i="56"/>
  <c r="K187" i="56"/>
  <c r="K186" i="56"/>
  <c r="K147" i="56"/>
  <c r="K146" i="56"/>
  <c r="K143" i="56"/>
  <c r="L143" i="56" s="1"/>
  <c r="J141" i="56"/>
  <c r="K140" i="56"/>
  <c r="K139" i="56"/>
  <c r="K138" i="56"/>
  <c r="K137" i="56"/>
  <c r="K136" i="56"/>
  <c r="K135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 s="1"/>
  <c r="K21" i="56"/>
  <c r="K20" i="56"/>
  <c r="K19" i="56"/>
  <c r="J14" i="56"/>
  <c r="N14" i="56" s="1"/>
  <c r="N13" i="56" s="1"/>
  <c r="N12" i="56" s="1"/>
  <c r="N11" i="56" s="1"/>
  <c r="W762" i="51"/>
  <c r="V762" i="51"/>
  <c r="K718" i="56"/>
  <c r="K257" i="56"/>
  <c r="K65" i="56"/>
  <c r="J749" i="56"/>
  <c r="K749" i="56" s="1"/>
  <c r="J630" i="56"/>
  <c r="K630" i="56" s="1"/>
  <c r="K622" i="56"/>
  <c r="L622" i="56" s="1"/>
  <c r="N622" i="56" s="1"/>
  <c r="O622" i="56" s="1"/>
  <c r="K142" i="56"/>
  <c r="L142" i="56" s="1"/>
  <c r="N142" i="56" s="1"/>
  <c r="O142" i="56" s="1"/>
  <c r="K93" i="56"/>
  <c r="J479" i="56"/>
  <c r="L479" i="56" s="1"/>
  <c r="N479" i="56" s="1"/>
  <c r="J522" i="56"/>
  <c r="L522" i="56" s="1"/>
  <c r="K472" i="56"/>
  <c r="L472" i="56" s="1"/>
  <c r="N472" i="56" s="1"/>
  <c r="O472" i="56" s="1"/>
  <c r="K478" i="56"/>
  <c r="K545" i="56"/>
  <c r="L545" i="56" s="1"/>
  <c r="K626" i="56"/>
  <c r="L626" i="56" s="1"/>
  <c r="N626" i="56" s="1"/>
  <c r="O626" i="56" s="1"/>
  <c r="K644" i="56"/>
  <c r="K815" i="56"/>
  <c r="L815" i="56" s="1"/>
  <c r="N815" i="56" s="1"/>
  <c r="O815" i="56" s="1"/>
  <c r="W708" i="51"/>
  <c r="W699" i="51" s="1"/>
  <c r="W207" i="51"/>
  <c r="W864" i="51"/>
  <c r="W858" i="51" s="1"/>
  <c r="W857" i="51" s="1"/>
  <c r="W23" i="51"/>
  <c r="W18" i="51" s="1"/>
  <c r="W26" i="51"/>
  <c r="W32" i="51"/>
  <c r="X32" i="51"/>
  <c r="W34" i="51"/>
  <c r="X35" i="51"/>
  <c r="W44" i="51"/>
  <c r="W50" i="51"/>
  <c r="Z52" i="51"/>
  <c r="W65" i="51"/>
  <c r="W69" i="51"/>
  <c r="W93" i="51"/>
  <c r="W97" i="51"/>
  <c r="W96" i="51" s="1"/>
  <c r="W95" i="51" s="1"/>
  <c r="W108" i="51"/>
  <c r="W107" i="51" s="1"/>
  <c r="W110" i="51"/>
  <c r="X111" i="51"/>
  <c r="W157" i="51"/>
  <c r="W131" i="51" s="1"/>
  <c r="W130" i="51" s="1"/>
  <c r="W210" i="51"/>
  <c r="W213" i="51"/>
  <c r="W216" i="51"/>
  <c r="X216" i="51"/>
  <c r="X220" i="51"/>
  <c r="Z220" i="51" s="1"/>
  <c r="W250" i="51"/>
  <c r="X250" i="51"/>
  <c r="W281" i="51"/>
  <c r="W299" i="51"/>
  <c r="W314" i="51"/>
  <c r="W313" i="51" s="1"/>
  <c r="W312" i="51" s="1"/>
  <c r="W415" i="51"/>
  <c r="W418" i="51"/>
  <c r="W421" i="51"/>
  <c r="W429" i="51"/>
  <c r="W428" i="51" s="1"/>
  <c r="W433" i="51"/>
  <c r="W432" i="51" s="1"/>
  <c r="W431" i="51" s="1"/>
  <c r="W440" i="51"/>
  <c r="W439" i="51" s="1"/>
  <c r="X440" i="51"/>
  <c r="X439" i="51" s="1"/>
  <c r="W444" i="51"/>
  <c r="W446" i="51"/>
  <c r="W456" i="51"/>
  <c r="X464" i="51"/>
  <c r="W492" i="51"/>
  <c r="W491" i="51" s="1"/>
  <c r="W512" i="51"/>
  <c r="W505" i="51" s="1"/>
  <c r="W526" i="51"/>
  <c r="W520" i="51" s="1"/>
  <c r="W577" i="51"/>
  <c r="W590" i="51"/>
  <c r="W597" i="51"/>
  <c r="X598" i="51"/>
  <c r="W599" i="51"/>
  <c r="X599" i="51"/>
  <c r="W602" i="51"/>
  <c r="X603" i="51"/>
  <c r="X604" i="51"/>
  <c r="Z604" i="51" s="1"/>
  <c r="W618" i="51"/>
  <c r="W613" i="51" s="1"/>
  <c r="W621" i="51"/>
  <c r="W627" i="51"/>
  <c r="X628" i="51"/>
  <c r="X627" i="51" s="1"/>
  <c r="W632" i="51"/>
  <c r="W635" i="51"/>
  <c r="W689" i="51"/>
  <c r="X690" i="51"/>
  <c r="Z690" i="51" s="1"/>
  <c r="X691" i="51"/>
  <c r="Z691" i="51" s="1"/>
  <c r="X692" i="51"/>
  <c r="Z692" i="51" s="1"/>
  <c r="W721" i="51"/>
  <c r="W750" i="51"/>
  <c r="W753" i="51"/>
  <c r="X754" i="51"/>
  <c r="Z754" i="51" s="1"/>
  <c r="W756" i="51"/>
  <c r="W759" i="51"/>
  <c r="W769" i="51"/>
  <c r="W773" i="51"/>
  <c r="W776" i="51"/>
  <c r="W779" i="51"/>
  <c r="W795" i="51"/>
  <c r="X796" i="51"/>
  <c r="Z796" i="51" s="1"/>
  <c r="X797" i="51"/>
  <c r="Z797" i="51" s="1"/>
  <c r="X802" i="51"/>
  <c r="Z802" i="51" s="1"/>
  <c r="W805" i="51"/>
  <c r="X806" i="51"/>
  <c r="W825" i="51"/>
  <c r="W828" i="51"/>
  <c r="W831" i="51"/>
  <c r="W837" i="51"/>
  <c r="W840" i="51"/>
  <c r="W844" i="51"/>
  <c r="W843" i="51" s="1"/>
  <c r="W850" i="51"/>
  <c r="W847" i="51" s="1"/>
  <c r="X847" i="51"/>
  <c r="X856" i="51"/>
  <c r="X854" i="51" s="1"/>
  <c r="X860" i="51"/>
  <c r="W873" i="51"/>
  <c r="W872" i="51" s="1"/>
  <c r="K391" i="56"/>
  <c r="L391" i="56" s="1"/>
  <c r="L384" i="56" s="1"/>
  <c r="L315" i="56" s="1"/>
  <c r="J481" i="56"/>
  <c r="J445" i="56"/>
  <c r="X23" i="51"/>
  <c r="X18" i="51" s="1"/>
  <c r="X17" i="51" s="1"/>
  <c r="X16" i="51" s="1"/>
  <c r="X492" i="51"/>
  <c r="X491" i="51" s="1"/>
  <c r="J362" i="56"/>
  <c r="L362" i="56" s="1"/>
  <c r="M362" i="56" s="1"/>
  <c r="O362" i="56" s="1"/>
  <c r="J793" i="56"/>
  <c r="K680" i="56"/>
  <c r="L680" i="56" s="1"/>
  <c r="L679" i="56" s="1"/>
  <c r="J783" i="56"/>
  <c r="K783" i="56" s="1"/>
  <c r="J321" i="56"/>
  <c r="J268" i="56"/>
  <c r="J649" i="56"/>
  <c r="L649" i="56" s="1"/>
  <c r="K14" i="56"/>
  <c r="J836" i="56"/>
  <c r="J664" i="56"/>
  <c r="K726" i="56"/>
  <c r="L726" i="56" s="1"/>
  <c r="L724" i="56" s="1"/>
  <c r="L698" i="56" s="1"/>
  <c r="J433" i="56"/>
  <c r="J237" i="56"/>
  <c r="K617" i="56"/>
  <c r="L617" i="56" s="1"/>
  <c r="N617" i="56" s="1"/>
  <c r="O617" i="56" s="1"/>
  <c r="J624" i="56"/>
  <c r="K412" i="56"/>
  <c r="L412" i="56" s="1"/>
  <c r="L411" i="56" s="1"/>
  <c r="L410" i="56" s="1"/>
  <c r="L409" i="56" s="1"/>
  <c r="J238" i="56"/>
  <c r="J416" i="56"/>
  <c r="K416" i="56" s="1"/>
  <c r="J233" i="56"/>
  <c r="X418" i="51"/>
  <c r="X750" i="51"/>
  <c r="X873" i="51"/>
  <c r="X872" i="51" s="1"/>
  <c r="X864" i="51"/>
  <c r="X415" i="51"/>
  <c r="X299" i="51"/>
  <c r="X281" i="51"/>
  <c r="X213" i="51"/>
  <c r="X210" i="51"/>
  <c r="X207" i="51"/>
  <c r="X97" i="51"/>
  <c r="X96" i="51" s="1"/>
  <c r="X350" i="51"/>
  <c r="X837" i="51"/>
  <c r="W231" i="51"/>
  <c r="X773" i="51"/>
  <c r="W221" i="51"/>
  <c r="W580" i="51"/>
  <c r="X394" i="51"/>
  <c r="X365" i="51" s="1"/>
  <c r="X512" i="51"/>
  <c r="X505" i="51" s="1"/>
  <c r="M14" i="56"/>
  <c r="M13" i="56" s="1"/>
  <c r="M12" i="56" s="1"/>
  <c r="M11" i="56" s="1"/>
  <c r="K268" i="56"/>
  <c r="K267" i="56"/>
  <c r="K741" i="56"/>
  <c r="L741" i="56" s="1"/>
  <c r="L740" i="56" s="1"/>
  <c r="J720" i="56"/>
  <c r="L720" i="56" s="1"/>
  <c r="X407" i="51"/>
  <c r="X406" i="51" s="1"/>
  <c r="J322" i="56"/>
  <c r="J286" i="56"/>
  <c r="K286" i="56" s="1"/>
  <c r="J351" i="56"/>
  <c r="J443" i="56"/>
  <c r="L443" i="56" s="1"/>
  <c r="M443" i="56" s="1"/>
  <c r="O443" i="56" s="1"/>
  <c r="J527" i="56"/>
  <c r="L527" i="56" s="1"/>
  <c r="M527" i="56" s="1"/>
  <c r="O527" i="56" s="1"/>
  <c r="J515" i="56"/>
  <c r="L515" i="56" s="1"/>
  <c r="N515" i="56" s="1"/>
  <c r="J511" i="56"/>
  <c r="J505" i="56"/>
  <c r="J517" i="56"/>
  <c r="L517" i="56" s="1"/>
  <c r="J507" i="56"/>
  <c r="J442" i="56"/>
  <c r="L442" i="56" s="1"/>
  <c r="M442" i="56" s="1"/>
  <c r="O442" i="56" s="1"/>
  <c r="J350" i="56"/>
  <c r="J510" i="56"/>
  <c r="J508" i="56"/>
  <c r="J473" i="56"/>
  <c r="K473" i="56" s="1"/>
  <c r="K428" i="56"/>
  <c r="L428" i="56" s="1"/>
  <c r="L427" i="56" s="1"/>
  <c r="J454" i="56"/>
  <c r="L454" i="56" s="1"/>
  <c r="K453" i="56" s="1"/>
  <c r="J777" i="56"/>
  <c r="J352" i="56"/>
  <c r="J319" i="56"/>
  <c r="L319" i="56" s="1"/>
  <c r="M319" i="56" s="1"/>
  <c r="O319" i="56" s="1"/>
  <c r="J504" i="56"/>
  <c r="J506" i="56"/>
  <c r="J668" i="56"/>
  <c r="K668" i="56" s="1"/>
  <c r="J356" i="56"/>
  <c r="J819" i="56"/>
  <c r="J784" i="56"/>
  <c r="J451" i="56"/>
  <c r="J738" i="56"/>
  <c r="J736" i="56" s="1"/>
  <c r="J735" i="56" s="1"/>
  <c r="J768" i="56"/>
  <c r="J267" i="56"/>
  <c r="L267" i="56" s="1"/>
  <c r="M267" i="56" s="1"/>
  <c r="O267" i="56" s="1"/>
  <c r="K443" i="56"/>
  <c r="K649" i="56"/>
  <c r="K716" i="56"/>
  <c r="J648" i="56"/>
  <c r="J448" i="56"/>
  <c r="L448" i="56" s="1"/>
  <c r="M448" i="56" s="1"/>
  <c r="O448" i="56" s="1"/>
  <c r="J361" i="56"/>
  <c r="L361" i="56" s="1"/>
  <c r="M361" i="56" s="1"/>
  <c r="O361" i="56" s="1"/>
  <c r="J797" i="56"/>
  <c r="J796" i="56" s="1"/>
  <c r="K796" i="56" s="1"/>
  <c r="J835" i="56"/>
  <c r="J659" i="56"/>
  <c r="K265" i="56"/>
  <c r="J355" i="56"/>
  <c r="K748" i="56"/>
  <c r="L748" i="56" s="1"/>
  <c r="L747" i="56" s="1"/>
  <c r="J776" i="56"/>
  <c r="J788" i="56"/>
  <c r="K788" i="56" s="1"/>
  <c r="J787" i="56"/>
  <c r="K787" i="56" s="1"/>
  <c r="J669" i="56"/>
  <c r="J526" i="56"/>
  <c r="J666" i="56"/>
  <c r="J269" i="56"/>
  <c r="L269" i="56" s="1"/>
  <c r="M269" i="56" s="1"/>
  <c r="O269" i="56" s="1"/>
  <c r="K448" i="56"/>
  <c r="J667" i="56"/>
  <c r="J785" i="56"/>
  <c r="U162" i="51"/>
  <c r="U204" i="51"/>
  <c r="K358" i="56"/>
  <c r="K507" i="56"/>
  <c r="K648" i="56"/>
  <c r="K269" i="56"/>
  <c r="K359" i="56"/>
  <c r="K357" i="56"/>
  <c r="K361" i="56"/>
  <c r="J743" i="56"/>
  <c r="J742" i="56" s="1"/>
  <c r="K493" i="56"/>
  <c r="J493" i="56"/>
  <c r="J655" i="56"/>
  <c r="L655" i="56" s="1"/>
  <c r="M655" i="56" s="1"/>
  <c r="O655" i="56" s="1"/>
  <c r="J320" i="56"/>
  <c r="J512" i="56"/>
  <c r="J347" i="56"/>
  <c r="L347" i="56" s="1"/>
  <c r="M347" i="56" s="1"/>
  <c r="O347" i="56" s="1"/>
  <c r="J509" i="56"/>
  <c r="J518" i="56"/>
  <c r="L518" i="56" s="1"/>
  <c r="N518" i="56" s="1"/>
  <c r="J102" i="56"/>
  <c r="J234" i="56"/>
  <c r="J265" i="56"/>
  <c r="L265" i="56" s="1"/>
  <c r="M265" i="56" s="1"/>
  <c r="J264" i="56"/>
  <c r="L264" i="56" s="1"/>
  <c r="J447" i="56"/>
  <c r="J358" i="56"/>
  <c r="J516" i="56"/>
  <c r="L516" i="56" s="1"/>
  <c r="N516" i="56" s="1"/>
  <c r="J266" i="56"/>
  <c r="J832" i="56"/>
  <c r="J530" i="56"/>
  <c r="L530" i="56" s="1"/>
  <c r="J353" i="56"/>
  <c r="J254" i="56"/>
  <c r="J643" i="56"/>
  <c r="J711" i="56"/>
  <c r="L711" i="56" s="1"/>
  <c r="K266" i="56"/>
  <c r="J101" i="56"/>
  <c r="J657" i="56"/>
  <c r="L657" i="56" s="1"/>
  <c r="J444" i="56"/>
  <c r="J107" i="56"/>
  <c r="J106" i="56" s="1"/>
  <c r="J105" i="56" s="1"/>
  <c r="K254" i="56"/>
  <c r="J521" i="56"/>
  <c r="K657" i="56"/>
  <c r="K320" i="56"/>
  <c r="J495" i="56"/>
  <c r="J441" i="56"/>
  <c r="J706" i="56"/>
  <c r="L706" i="56" s="1"/>
  <c r="J477" i="56"/>
  <c r="L477" i="56" s="1"/>
  <c r="K451" i="56"/>
  <c r="J89" i="56"/>
  <c r="K89" i="56" s="1"/>
  <c r="J456" i="56"/>
  <c r="L456" i="56" s="1"/>
  <c r="K256" i="56"/>
  <c r="J354" i="56"/>
  <c r="K102" i="56"/>
  <c r="L102" i="56" s="1"/>
  <c r="J256" i="56"/>
  <c r="L256" i="56" s="1"/>
  <c r="N256" i="56" s="1"/>
  <c r="J568" i="56"/>
  <c r="K568" i="56" s="1"/>
  <c r="J566" i="56"/>
  <c r="K720" i="56"/>
  <c r="J474" i="56"/>
  <c r="J346" i="56"/>
  <c r="J782" i="56"/>
  <c r="J525" i="56"/>
  <c r="K527" i="56"/>
  <c r="K651" i="56"/>
  <c r="K248" i="56"/>
  <c r="J243" i="56"/>
  <c r="J701" i="56"/>
  <c r="J446" i="56"/>
  <c r="K510" i="56"/>
  <c r="J424" i="56"/>
  <c r="K424" i="56" s="1"/>
  <c r="K347" i="56"/>
  <c r="J227" i="56"/>
  <c r="J770" i="56"/>
  <c r="J769" i="56" s="1"/>
  <c r="J640" i="56"/>
  <c r="L640" i="56" s="1"/>
  <c r="K442" i="56"/>
  <c r="K322" i="56"/>
  <c r="J780" i="56"/>
  <c r="K780" i="56" s="1"/>
  <c r="J567" i="56"/>
  <c r="J991" i="56"/>
  <c r="K991" i="56" s="1"/>
  <c r="K506" i="56"/>
  <c r="J786" i="56"/>
  <c r="R402" i="51"/>
  <c r="O402" i="51"/>
  <c r="J402" i="51"/>
  <c r="K508" i="56"/>
  <c r="K505" i="56"/>
  <c r="K362" i="56"/>
  <c r="K447" i="56"/>
  <c r="K512" i="56"/>
  <c r="K446" i="56"/>
  <c r="K360" i="56"/>
  <c r="K511" i="56"/>
  <c r="K321" i="56"/>
  <c r="K481" i="56"/>
  <c r="K350" i="56"/>
  <c r="K509" i="56"/>
  <c r="K655" i="56"/>
  <c r="K526" i="56"/>
  <c r="J966" i="56"/>
  <c r="K966" i="56" s="1"/>
  <c r="J984" i="56"/>
  <c r="J653" i="56"/>
  <c r="L653" i="56" s="1"/>
  <c r="J229" i="56"/>
  <c r="K229" i="56" s="1"/>
  <c r="K251" i="56"/>
  <c r="J651" i="56"/>
  <c r="L651" i="56" s="1"/>
  <c r="M651" i="56" s="1"/>
  <c r="J989" i="56"/>
  <c r="K989" i="56" s="1"/>
  <c r="K264" i="56"/>
  <c r="J360" i="56"/>
  <c r="L360" i="56" s="1"/>
  <c r="M360" i="56" s="1"/>
  <c r="O360" i="56" s="1"/>
  <c r="J359" i="56"/>
  <c r="J349" i="56"/>
  <c r="L349" i="56" s="1"/>
  <c r="M349" i="56" s="1"/>
  <c r="O349" i="56" s="1"/>
  <c r="J357" i="56"/>
  <c r="J828" i="56"/>
  <c r="K828" i="56" s="1"/>
  <c r="J248" i="56"/>
  <c r="J627" i="56"/>
  <c r="J936" i="56"/>
  <c r="J366" i="56"/>
  <c r="L366" i="56" s="1"/>
  <c r="K640" i="56"/>
  <c r="J792" i="56"/>
  <c r="J894" i="56"/>
  <c r="J414" i="56"/>
  <c r="J949" i="56"/>
  <c r="J104" i="56"/>
  <c r="J103" i="56" s="1"/>
  <c r="K515" i="56"/>
  <c r="J415" i="56"/>
  <c r="K415" i="56" s="1"/>
  <c r="K659" i="56"/>
  <c r="J514" i="56"/>
  <c r="L514" i="56" s="1"/>
  <c r="M514" i="56" s="1"/>
  <c r="M513" i="56" s="1"/>
  <c r="K319" i="56"/>
  <c r="J937" i="56"/>
  <c r="K516" i="56"/>
  <c r="J348" i="56"/>
  <c r="L348" i="56" s="1"/>
  <c r="M348" i="56" s="1"/>
  <c r="O348" i="56" s="1"/>
  <c r="J112" i="56"/>
  <c r="J111" i="56" s="1"/>
  <c r="J110" i="56" s="1"/>
  <c r="J109" i="56" s="1"/>
  <c r="J108" i="56" s="1"/>
  <c r="K444" i="56"/>
  <c r="J943" i="56"/>
  <c r="K943" i="56" s="1"/>
  <c r="K638" i="56"/>
  <c r="J844" i="56"/>
  <c r="K844" i="56" s="1"/>
  <c r="K348" i="56"/>
  <c r="J717" i="56"/>
  <c r="J288" i="56"/>
  <c r="K288" i="56" s="1"/>
  <c r="J326" i="56"/>
  <c r="L326" i="56" s="1"/>
  <c r="J997" i="56"/>
  <c r="J831" i="56"/>
  <c r="K831" i="56" s="1"/>
  <c r="J860" i="56"/>
  <c r="K709" i="56"/>
  <c r="J709" i="56"/>
  <c r="J978" i="56"/>
  <c r="K978" i="56" s="1"/>
  <c r="J231" i="56"/>
  <c r="K231" i="56" s="1"/>
  <c r="K456" i="56"/>
  <c r="K525" i="56"/>
  <c r="J881" i="56"/>
  <c r="K881" i="56" s="1"/>
  <c r="K518" i="56"/>
  <c r="J983" i="56"/>
  <c r="J704" i="56"/>
  <c r="K701" i="56"/>
  <c r="J251" i="56"/>
  <c r="J790" i="56"/>
  <c r="J941" i="56"/>
  <c r="K941" i="56" s="1"/>
  <c r="J987" i="56"/>
  <c r="J995" i="56"/>
  <c r="J861" i="56"/>
  <c r="K366" i="56"/>
  <c r="J942" i="56"/>
  <c r="J940" i="56"/>
  <c r="K940" i="56" s="1"/>
  <c r="J1002" i="56"/>
  <c r="J994" i="56"/>
  <c r="K441" i="56"/>
  <c r="J887" i="56"/>
  <c r="J897" i="56"/>
  <c r="K897" i="56" s="1"/>
  <c r="J996" i="56"/>
  <c r="K996" i="56" s="1"/>
  <c r="J847" i="56"/>
  <c r="T89" i="51"/>
  <c r="U566" i="51"/>
  <c r="J573" i="51"/>
  <c r="O573" i="51"/>
  <c r="R573" i="51"/>
  <c r="S573" i="51"/>
  <c r="R295" i="51"/>
  <c r="O295" i="51"/>
  <c r="J295" i="51"/>
  <c r="K346" i="56"/>
  <c r="K351" i="56"/>
  <c r="K355" i="56"/>
  <c r="K352" i="56"/>
  <c r="K354" i="56"/>
  <c r="K517" i="56"/>
  <c r="J716" i="56"/>
  <c r="K653" i="56"/>
  <c r="J449" i="56"/>
  <c r="L449" i="56" s="1"/>
  <c r="J859" i="56"/>
  <c r="J852" i="56"/>
  <c r="J922" i="56"/>
  <c r="K922" i="56" s="1"/>
  <c r="J933" i="56"/>
  <c r="J856" i="56"/>
  <c r="K856" i="56" s="1"/>
  <c r="J939" i="56"/>
  <c r="J985" i="56"/>
  <c r="J864" i="56"/>
  <c r="J934" i="56"/>
  <c r="J906" i="56"/>
  <c r="J924" i="56"/>
  <c r="K326" i="56"/>
  <c r="J960" i="56"/>
  <c r="K960" i="56" s="1"/>
  <c r="J923" i="56"/>
  <c r="K923" i="56" s="1"/>
  <c r="J1003" i="56"/>
  <c r="J892" i="56"/>
  <c r="J858" i="56"/>
  <c r="K858" i="56" s="1"/>
  <c r="J903" i="56"/>
  <c r="J999" i="56"/>
  <c r="J843" i="56"/>
  <c r="J925" i="56"/>
  <c r="K925" i="56" s="1"/>
  <c r="J961" i="56"/>
  <c r="K961" i="56" s="1"/>
  <c r="J888" i="56"/>
  <c r="J851" i="56"/>
  <c r="J862" i="56"/>
  <c r="K862" i="56" s="1"/>
  <c r="J910" i="56"/>
  <c r="K910" i="56" s="1"/>
  <c r="J932" i="56"/>
  <c r="J855" i="56"/>
  <c r="K855" i="56" s="1"/>
  <c r="K104" i="56"/>
  <c r="L104" i="56" s="1"/>
  <c r="M104" i="56" s="1"/>
  <c r="K454" i="56"/>
  <c r="J849" i="56"/>
  <c r="K477" i="56"/>
  <c r="J958" i="56"/>
  <c r="J970" i="56"/>
  <c r="J965" i="56"/>
  <c r="J898" i="56"/>
  <c r="K898" i="56" s="1"/>
  <c r="J875" i="56"/>
  <c r="K875" i="56" s="1"/>
  <c r="K504" i="56"/>
  <c r="J638" i="56"/>
  <c r="L638" i="56" s="1"/>
  <c r="K637" i="56" s="1"/>
  <c r="J853" i="56"/>
  <c r="J902" i="56"/>
  <c r="J884" i="56"/>
  <c r="K495" i="56"/>
  <c r="J899" i="56"/>
  <c r="K514" i="56"/>
  <c r="J878" i="56"/>
  <c r="K643" i="56"/>
  <c r="J959" i="56"/>
  <c r="K959" i="56" s="1"/>
  <c r="J993" i="56"/>
  <c r="K993" i="56" s="1"/>
  <c r="K353" i="56"/>
  <c r="J880" i="56"/>
  <c r="J883" i="56"/>
  <c r="J921" i="56"/>
  <c r="K921" i="56" s="1"/>
  <c r="J981" i="56"/>
  <c r="J992" i="56"/>
  <c r="K112" i="56"/>
  <c r="L112" i="56" s="1"/>
  <c r="J990" i="56"/>
  <c r="J904" i="56"/>
  <c r="J973" i="56"/>
  <c r="K973" i="56" s="1"/>
  <c r="J885" i="56"/>
  <c r="J982" i="56"/>
  <c r="J944" i="56"/>
  <c r="K349" i="56"/>
  <c r="J926" i="56"/>
  <c r="K449" i="56"/>
  <c r="J935" i="56"/>
  <c r="K935" i="56" s="1"/>
  <c r="J413" i="56"/>
  <c r="J954" i="56"/>
  <c r="K954" i="56" s="1"/>
  <c r="K445" i="56"/>
  <c r="J848" i="56"/>
  <c r="J930" i="56"/>
  <c r="J946" i="56"/>
  <c r="J850" i="56"/>
  <c r="K850" i="56" s="1"/>
  <c r="J789" i="56"/>
  <c r="J988" i="56"/>
  <c r="J977" i="56"/>
  <c r="J870" i="56"/>
  <c r="K870" i="56" s="1"/>
  <c r="J873" i="56"/>
  <c r="J986" i="56"/>
  <c r="K986" i="56" s="1"/>
  <c r="J964" i="56"/>
  <c r="K964" i="56" s="1"/>
  <c r="J791" i="56"/>
  <c r="J71" i="56"/>
  <c r="J27" i="46"/>
  <c r="D20" i="46"/>
  <c r="K356" i="56"/>
  <c r="K717" i="56"/>
  <c r="J1001" i="56"/>
  <c r="K1001" i="56" s="1"/>
  <c r="J998" i="56"/>
  <c r="J945" i="56"/>
  <c r="K704" i="56"/>
  <c r="J889" i="56"/>
  <c r="K889" i="56" s="1"/>
  <c r="J868" i="56"/>
  <c r="J905" i="56"/>
  <c r="J953" i="56"/>
  <c r="K953" i="56" s="1"/>
  <c r="J931" i="56"/>
  <c r="J901" i="56"/>
  <c r="J967" i="56"/>
  <c r="J872" i="56"/>
  <c r="K872" i="56" s="1"/>
  <c r="J912" i="56"/>
  <c r="K101" i="56"/>
  <c r="L101" i="56" s="1"/>
  <c r="N101" i="56" s="1"/>
  <c r="J971" i="56"/>
  <c r="K711" i="56"/>
  <c r="J968" i="56"/>
  <c r="J955" i="56"/>
  <c r="J879" i="56"/>
  <c r="K879" i="56" s="1"/>
  <c r="J979" i="56"/>
  <c r="K979" i="56" s="1"/>
  <c r="J882" i="56"/>
  <c r="K107" i="56"/>
  <c r="L107" i="56" s="1"/>
  <c r="M107" i="56" s="1"/>
  <c r="J918" i="56"/>
  <c r="K918" i="56" s="1"/>
  <c r="J917" i="56"/>
  <c r="J865" i="56"/>
  <c r="J876" i="56"/>
  <c r="K876" i="56" s="1"/>
  <c r="J874" i="56"/>
  <c r="K874" i="56" s="1"/>
  <c r="J900" i="56"/>
  <c r="J232" i="56"/>
  <c r="K521" i="56"/>
  <c r="J969" i="56"/>
  <c r="J952" i="56"/>
  <c r="J957" i="56"/>
  <c r="K957" i="56" s="1"/>
  <c r="J963" i="56"/>
  <c r="J919" i="56"/>
  <c r="J909" i="56"/>
  <c r="K706" i="56"/>
  <c r="J854" i="56"/>
  <c r="J962" i="56"/>
  <c r="J226" i="56"/>
  <c r="K226" i="56" s="1"/>
  <c r="J972" i="56"/>
  <c r="J863" i="56"/>
  <c r="J913" i="56"/>
  <c r="J895" i="56"/>
  <c r="J886" i="56"/>
  <c r="K886" i="56" s="1"/>
  <c r="J871" i="56"/>
  <c r="K871" i="56" s="1"/>
  <c r="J980" i="56"/>
  <c r="K980" i="56" s="1"/>
  <c r="J928" i="56"/>
  <c r="J950" i="56"/>
  <c r="J947" i="56"/>
  <c r="J893" i="56"/>
  <c r="K893" i="56" s="1"/>
  <c r="J230" i="56"/>
  <c r="K230" i="56" s="1"/>
  <c r="J1000" i="56"/>
  <c r="J929" i="56"/>
  <c r="K929" i="56" s="1"/>
  <c r="J911" i="56"/>
  <c r="J890" i="56"/>
  <c r="K890" i="56" s="1"/>
  <c r="K530" i="56"/>
  <c r="J225" i="56"/>
  <c r="J975" i="56"/>
  <c r="K975" i="56" s="1"/>
  <c r="J869" i="56"/>
  <c r="J845" i="56"/>
  <c r="J896" i="56"/>
  <c r="J914" i="56"/>
  <c r="J891" i="56"/>
  <c r="J228" i="56"/>
  <c r="K228" i="56" s="1"/>
  <c r="J976" i="56"/>
  <c r="U584" i="51"/>
  <c r="U583" i="51"/>
  <c r="U581" i="51"/>
  <c r="U701" i="51"/>
  <c r="U700" i="51"/>
  <c r="U528" i="51"/>
  <c r="U527" i="51"/>
  <c r="U409" i="51"/>
  <c r="U408" i="51"/>
  <c r="U396" i="51"/>
  <c r="U395" i="51"/>
  <c r="U352" i="51"/>
  <c r="U351" i="51"/>
  <c r="U232" i="51"/>
  <c r="U231" i="51" s="1"/>
  <c r="U222" i="51"/>
  <c r="U221" i="51" s="1"/>
  <c r="U27" i="51"/>
  <c r="U26" i="51" s="1"/>
  <c r="J846" i="56"/>
  <c r="J974" i="56"/>
  <c r="J927" i="56"/>
  <c r="J877" i="56"/>
  <c r="K877" i="56" s="1"/>
  <c r="J907" i="56"/>
  <c r="K907" i="56" s="1"/>
  <c r="J956" i="56"/>
  <c r="J866" i="56"/>
  <c r="J951" i="56"/>
  <c r="J938" i="56"/>
  <c r="J908" i="56"/>
  <c r="K908" i="56" s="1"/>
  <c r="J915" i="56"/>
  <c r="J857" i="56"/>
  <c r="J916" i="56"/>
  <c r="J867" i="56"/>
  <c r="J948" i="56"/>
  <c r="U302" i="51"/>
  <c r="U301" i="51"/>
  <c r="J920" i="56"/>
  <c r="J842" i="56"/>
  <c r="U304" i="51"/>
  <c r="U303" i="51"/>
  <c r="U19" i="51"/>
  <c r="U205" i="51"/>
  <c r="U151" i="51"/>
  <c r="U825" i="51"/>
  <c r="V825" i="51"/>
  <c r="T825" i="51"/>
  <c r="U50" i="51"/>
  <c r="T50" i="51"/>
  <c r="V50" i="51"/>
  <c r="N11" i="44"/>
  <c r="O11" i="44"/>
  <c r="M11" i="44" s="1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U779" i="51"/>
  <c r="S783" i="51"/>
  <c r="T783" i="51" s="1"/>
  <c r="S782" i="51"/>
  <c r="T782" i="51" s="1"/>
  <c r="S781" i="51"/>
  <c r="T781" i="51" s="1"/>
  <c r="S67" i="51"/>
  <c r="R67" i="51"/>
  <c r="M67" i="51"/>
  <c r="O67" i="51" s="1"/>
  <c r="L67" i="51"/>
  <c r="J67" i="51"/>
  <c r="S66" i="51"/>
  <c r="R66" i="51"/>
  <c r="M66" i="51"/>
  <c r="O66" i="51" s="1"/>
  <c r="L66" i="51"/>
  <c r="J66" i="51"/>
  <c r="U65" i="51"/>
  <c r="T65" i="51"/>
  <c r="G65" i="51"/>
  <c r="G68" i="51"/>
  <c r="H69" i="51"/>
  <c r="H65" i="51" s="1"/>
  <c r="K69" i="51"/>
  <c r="K65" i="51" s="1"/>
  <c r="L69" i="51"/>
  <c r="M69" i="51"/>
  <c r="N69" i="51"/>
  <c r="N65" i="51" s="1"/>
  <c r="P69" i="51"/>
  <c r="P65" i="51" s="1"/>
  <c r="Q69" i="51"/>
  <c r="Q65" i="51" s="1"/>
  <c r="S69" i="51"/>
  <c r="U69" i="51"/>
  <c r="I70" i="51"/>
  <c r="J70" i="51" s="1"/>
  <c r="O70" i="51"/>
  <c r="R70" i="51"/>
  <c r="J71" i="51"/>
  <c r="O71" i="51"/>
  <c r="V71" i="51"/>
  <c r="X65" i="51"/>
  <c r="U635" i="51"/>
  <c r="T635" i="51"/>
  <c r="V635" i="51"/>
  <c r="V216" i="51"/>
  <c r="U216" i="51"/>
  <c r="T216" i="51"/>
  <c r="V846" i="51"/>
  <c r="X846" i="51" s="1"/>
  <c r="Z846" i="51" s="1"/>
  <c r="V845" i="51"/>
  <c r="U844" i="51"/>
  <c r="U843" i="51" s="1"/>
  <c r="T844" i="51"/>
  <c r="T843" i="51" s="1"/>
  <c r="U795" i="51"/>
  <c r="U210" i="51"/>
  <c r="T210" i="51"/>
  <c r="V210" i="51"/>
  <c r="U23" i="51"/>
  <c r="T23" i="51"/>
  <c r="V23" i="51"/>
  <c r="V18" i="51" s="1"/>
  <c r="T395" i="51"/>
  <c r="T1038" i="51"/>
  <c r="T873" i="51" s="1"/>
  <c r="T872" i="51" s="1"/>
  <c r="U828" i="51"/>
  <c r="T78" i="51"/>
  <c r="O78" i="51"/>
  <c r="J78" i="51"/>
  <c r="V74" i="51"/>
  <c r="V75" i="51"/>
  <c r="O75" i="51"/>
  <c r="I75" i="51"/>
  <c r="J75" i="51" s="1"/>
  <c r="O74" i="51"/>
  <c r="I74" i="51"/>
  <c r="J74" i="51" s="1"/>
  <c r="U56" i="51"/>
  <c r="U864" i="51"/>
  <c r="U858" i="51" s="1"/>
  <c r="U857" i="51" s="1"/>
  <c r="U854" i="51"/>
  <c r="U853" i="51" s="1"/>
  <c r="U850" i="51"/>
  <c r="U847" i="51" s="1"/>
  <c r="U840" i="51"/>
  <c r="U837" i="51"/>
  <c r="U831" i="51"/>
  <c r="U809" i="51"/>
  <c r="U805" i="51"/>
  <c r="U776" i="51"/>
  <c r="U773" i="51"/>
  <c r="U769" i="51"/>
  <c r="U759" i="51"/>
  <c r="U756" i="51"/>
  <c r="U753" i="51"/>
  <c r="U750" i="51"/>
  <c r="U721" i="51"/>
  <c r="U708" i="51"/>
  <c r="U689" i="51"/>
  <c r="U632" i="51"/>
  <c r="U627" i="51"/>
  <c r="U621" i="51"/>
  <c r="U618" i="51"/>
  <c r="U613" i="51" s="1"/>
  <c r="U605" i="51"/>
  <c r="U602" i="51"/>
  <c r="U599" i="51"/>
  <c r="U597" i="51"/>
  <c r="U590" i="51"/>
  <c r="U577" i="51"/>
  <c r="U492" i="51"/>
  <c r="U491" i="51" s="1"/>
  <c r="U459" i="51"/>
  <c r="U456" i="51"/>
  <c r="U446" i="51"/>
  <c r="U440" i="51"/>
  <c r="U439" i="51" s="1"/>
  <c r="U433" i="51"/>
  <c r="U432" i="51" s="1"/>
  <c r="U431" i="51" s="1"/>
  <c r="U429" i="51"/>
  <c r="U428" i="51" s="1"/>
  <c r="U421" i="51"/>
  <c r="U418" i="51"/>
  <c r="U415" i="51"/>
  <c r="U358" i="51"/>
  <c r="U314" i="51"/>
  <c r="U313" i="51" s="1"/>
  <c r="U312" i="51" s="1"/>
  <c r="U281" i="51"/>
  <c r="U250" i="51"/>
  <c r="U213" i="51"/>
  <c r="U207" i="51"/>
  <c r="U157" i="51"/>
  <c r="U110" i="51"/>
  <c r="U108" i="51"/>
  <c r="U107" i="51" s="1"/>
  <c r="U97" i="51"/>
  <c r="U96" i="51" s="1"/>
  <c r="U95" i="51" s="1"/>
  <c r="U93" i="51"/>
  <c r="U44" i="51"/>
  <c r="U34" i="51"/>
  <c r="U32" i="51"/>
  <c r="V34" i="51"/>
  <c r="V32" i="51"/>
  <c r="U512" i="51"/>
  <c r="U505" i="51" s="1"/>
  <c r="U873" i="51"/>
  <c r="U872" i="51" s="1"/>
  <c r="E9" i="47"/>
  <c r="F9" i="47"/>
  <c r="G9" i="47"/>
  <c r="H9" i="47"/>
  <c r="H25" i="47" s="1"/>
  <c r="I9" i="47"/>
  <c r="J9" i="47"/>
  <c r="J25" i="47" s="1"/>
  <c r="K9" i="47"/>
  <c r="S162" i="51"/>
  <c r="S57" i="51"/>
  <c r="S39" i="51"/>
  <c r="S232" i="51"/>
  <c r="S222" i="51"/>
  <c r="S19" i="51"/>
  <c r="S27" i="51"/>
  <c r="S645" i="51"/>
  <c r="S701" i="51"/>
  <c r="S644" i="51"/>
  <c r="S567" i="51"/>
  <c r="S569" i="51"/>
  <c r="S81" i="51"/>
  <c r="S82" i="51"/>
  <c r="O77" i="51"/>
  <c r="I77" i="51"/>
  <c r="J77" i="51" s="1"/>
  <c r="O76" i="51"/>
  <c r="I76" i="51"/>
  <c r="J76" i="51" s="1"/>
  <c r="S204" i="51"/>
  <c r="S205" i="51"/>
  <c r="S151" i="51"/>
  <c r="S20" i="51"/>
  <c r="S28" i="51"/>
  <c r="S40" i="51"/>
  <c r="S58" i="51"/>
  <c r="T58" i="51" s="1"/>
  <c r="S83" i="51"/>
  <c r="S84" i="51"/>
  <c r="S223" i="51"/>
  <c r="T223" i="51" s="1"/>
  <c r="S233" i="51"/>
  <c r="T233" i="51" s="1"/>
  <c r="T231" i="51" s="1"/>
  <c r="S286" i="51"/>
  <c r="S288" i="51"/>
  <c r="T288" i="51" s="1"/>
  <c r="S287" i="51"/>
  <c r="S289" i="51"/>
  <c r="T289" i="51" s="1"/>
  <c r="S351" i="51"/>
  <c r="S353" i="51"/>
  <c r="T353" i="51" s="1"/>
  <c r="S352" i="51"/>
  <c r="S354" i="51"/>
  <c r="T354" i="51" s="1"/>
  <c r="S396" i="51"/>
  <c r="S395" i="51"/>
  <c r="S397" i="51"/>
  <c r="T397" i="51" s="1"/>
  <c r="S398" i="51"/>
  <c r="T398" i="51" s="1"/>
  <c r="S409" i="51"/>
  <c r="S408" i="51"/>
  <c r="S410" i="51"/>
  <c r="S570" i="51"/>
  <c r="T570" i="51" s="1"/>
  <c r="S571" i="51"/>
  <c r="T571" i="51" s="1"/>
  <c r="S646" i="51"/>
  <c r="S647" i="51"/>
  <c r="T647" i="51" s="1"/>
  <c r="V647" i="51" s="1"/>
  <c r="X647" i="51" s="1"/>
  <c r="Z647" i="51" s="1"/>
  <c r="S700" i="51"/>
  <c r="S702" i="51"/>
  <c r="T702" i="51" s="1"/>
  <c r="S703" i="51"/>
  <c r="T703" i="51" s="1"/>
  <c r="S780" i="51"/>
  <c r="S779" i="51" s="1"/>
  <c r="S1036" i="51"/>
  <c r="S1037" i="51"/>
  <c r="S660" i="51"/>
  <c r="S514" i="51"/>
  <c r="S513" i="51"/>
  <c r="S864" i="51"/>
  <c r="S858" i="51" s="1"/>
  <c r="S857" i="51" s="1"/>
  <c r="S708" i="51"/>
  <c r="S301" i="51"/>
  <c r="S302" i="51"/>
  <c r="S447" i="51"/>
  <c r="S446" i="51" s="1"/>
  <c r="R99" i="51"/>
  <c r="T34" i="51"/>
  <c r="S34" i="51"/>
  <c r="R34" i="51"/>
  <c r="J111" i="51"/>
  <c r="S110" i="51"/>
  <c r="N110" i="51"/>
  <c r="K110" i="51"/>
  <c r="I110" i="51"/>
  <c r="H110" i="51"/>
  <c r="S418" i="51"/>
  <c r="S421" i="51"/>
  <c r="R421" i="51"/>
  <c r="T423" i="51"/>
  <c r="O423" i="51"/>
  <c r="J423" i="51"/>
  <c r="S572" i="51"/>
  <c r="S42" i="51"/>
  <c r="T42" i="51" s="1"/>
  <c r="T110" i="51"/>
  <c r="O84" i="51"/>
  <c r="I84" i="51"/>
  <c r="J84" i="51" s="1"/>
  <c r="O83" i="51"/>
  <c r="I83" i="51"/>
  <c r="J83" i="51" s="1"/>
  <c r="V110" i="51"/>
  <c r="M163" i="51"/>
  <c r="L163" i="51"/>
  <c r="I163" i="51"/>
  <c r="J163" i="51" s="1"/>
  <c r="F9" i="54"/>
  <c r="G9" i="54"/>
  <c r="G25" i="54" s="1"/>
  <c r="H9" i="54"/>
  <c r="H25" i="54" s="1"/>
  <c r="I9" i="54"/>
  <c r="J9" i="54"/>
  <c r="J25" i="54" s="1"/>
  <c r="K9" i="54"/>
  <c r="K25" i="54" s="1"/>
  <c r="D17" i="54"/>
  <c r="D17" i="47"/>
  <c r="S809" i="51"/>
  <c r="R464" i="51"/>
  <c r="P465" i="51"/>
  <c r="P464" i="51" s="1"/>
  <c r="O465" i="51"/>
  <c r="I465" i="51"/>
  <c r="N464" i="51"/>
  <c r="M464" i="51"/>
  <c r="L464" i="51"/>
  <c r="K464" i="51"/>
  <c r="H464" i="51"/>
  <c r="D40" i="15"/>
  <c r="S526" i="51"/>
  <c r="S520" i="51" s="1"/>
  <c r="S828" i="51"/>
  <c r="R828" i="51"/>
  <c r="V662" i="51"/>
  <c r="X662" i="51" s="1"/>
  <c r="Z662" i="51" s="1"/>
  <c r="O662" i="51"/>
  <c r="O634" i="51"/>
  <c r="J634" i="51"/>
  <c r="V634" i="51"/>
  <c r="X634" i="51" s="1"/>
  <c r="Z634" i="51" s="1"/>
  <c r="O464" i="51"/>
  <c r="S795" i="51"/>
  <c r="T215" i="51"/>
  <c r="T214" i="51"/>
  <c r="S213" i="51"/>
  <c r="R213" i="51"/>
  <c r="V213" i="51"/>
  <c r="T30" i="51"/>
  <c r="T26" i="51" s="1"/>
  <c r="V26" i="51"/>
  <c r="S831" i="51"/>
  <c r="R831" i="51"/>
  <c r="V64" i="51"/>
  <c r="V63" i="51"/>
  <c r="V842" i="51"/>
  <c r="V841" i="51"/>
  <c r="X841" i="51" s="1"/>
  <c r="Z841" i="51" s="1"/>
  <c r="S840" i="51"/>
  <c r="R840" i="51"/>
  <c r="S97" i="51"/>
  <c r="S96" i="51" s="1"/>
  <c r="S95" i="51" s="1"/>
  <c r="S44" i="51"/>
  <c r="R44" i="51"/>
  <c r="T46" i="51"/>
  <c r="T45" i="51"/>
  <c r="T839" i="51"/>
  <c r="T838" i="51"/>
  <c r="S837" i="51"/>
  <c r="R837" i="51"/>
  <c r="T833" i="51"/>
  <c r="T832" i="51"/>
  <c r="T829" i="51"/>
  <c r="T828" i="51" s="1"/>
  <c r="S605" i="51"/>
  <c r="R605" i="51"/>
  <c r="O612" i="51"/>
  <c r="J612" i="51"/>
  <c r="P611" i="51"/>
  <c r="O611" i="51"/>
  <c r="J611" i="51"/>
  <c r="L611" i="51" s="1"/>
  <c r="V44" i="51"/>
  <c r="V828" i="51"/>
  <c r="V831" i="51"/>
  <c r="V837" i="51"/>
  <c r="T840" i="51"/>
  <c r="T786" i="51"/>
  <c r="T789" i="51"/>
  <c r="V789" i="51" s="1"/>
  <c r="T790" i="51"/>
  <c r="V790" i="51" s="1"/>
  <c r="S773" i="51"/>
  <c r="R791" i="51"/>
  <c r="O791" i="51"/>
  <c r="I791" i="51"/>
  <c r="J791" i="51" s="1"/>
  <c r="T228" i="51"/>
  <c r="T230" i="51"/>
  <c r="O422" i="51"/>
  <c r="O421" i="51" s="1"/>
  <c r="J422" i="51"/>
  <c r="Q421" i="51"/>
  <c r="P421" i="51"/>
  <c r="N421" i="51"/>
  <c r="M421" i="51"/>
  <c r="L421" i="51"/>
  <c r="K421" i="51"/>
  <c r="I421" i="51"/>
  <c r="H421" i="51"/>
  <c r="S753" i="51"/>
  <c r="T755" i="51"/>
  <c r="V755" i="51" s="1"/>
  <c r="X755" i="51" s="1"/>
  <c r="T709" i="51"/>
  <c r="V709" i="51" s="1"/>
  <c r="T707" i="51"/>
  <c r="V707" i="51" s="1"/>
  <c r="X707" i="51" s="1"/>
  <c r="R708" i="51"/>
  <c r="T422" i="51"/>
  <c r="T648" i="51"/>
  <c r="V648" i="51" s="1"/>
  <c r="X648" i="51" s="1"/>
  <c r="Z648" i="51" s="1"/>
  <c r="T649" i="51"/>
  <c r="V649" i="51" s="1"/>
  <c r="X649" i="51" s="1"/>
  <c r="Z649" i="51" s="1"/>
  <c r="T630" i="51"/>
  <c r="X630" i="51"/>
  <c r="Z630" i="51" s="1"/>
  <c r="R629" i="51"/>
  <c r="R627" i="51"/>
  <c r="T623" i="51"/>
  <c r="R621" i="51"/>
  <c r="T620" i="51"/>
  <c r="S618" i="51"/>
  <c r="S613" i="51" s="1"/>
  <c r="T608" i="51"/>
  <c r="T610" i="51"/>
  <c r="T606" i="51"/>
  <c r="T604" i="51"/>
  <c r="R602" i="51"/>
  <c r="S602" i="51"/>
  <c r="P602" i="51"/>
  <c r="O602" i="51"/>
  <c r="V779" i="51"/>
  <c r="V421" i="51"/>
  <c r="T603" i="51"/>
  <c r="Q602" i="51"/>
  <c r="V529" i="51"/>
  <c r="X529" i="51" s="1"/>
  <c r="Z529" i="51" s="1"/>
  <c r="V530" i="51"/>
  <c r="X530" i="51" s="1"/>
  <c r="Z530" i="51" s="1"/>
  <c r="S440" i="51"/>
  <c r="S439" i="51" s="1"/>
  <c r="R440" i="51"/>
  <c r="R439" i="51" s="1"/>
  <c r="S456" i="51"/>
  <c r="T413" i="51"/>
  <c r="V413" i="51" s="1"/>
  <c r="T304" i="51"/>
  <c r="J292" i="51"/>
  <c r="O292" i="51"/>
  <c r="R292" i="51"/>
  <c r="T292" i="51" s="1"/>
  <c r="S281" i="51"/>
  <c r="T283" i="51"/>
  <c r="S207" i="51"/>
  <c r="R208" i="51"/>
  <c r="O208" i="51"/>
  <c r="J208" i="51"/>
  <c r="R209" i="51"/>
  <c r="O209" i="51"/>
  <c r="O207" i="51" s="1"/>
  <c r="J209" i="51"/>
  <c r="Q207" i="51"/>
  <c r="P207" i="51"/>
  <c r="N207" i="51"/>
  <c r="M207" i="51"/>
  <c r="L207" i="51"/>
  <c r="K207" i="51"/>
  <c r="I207" i="51"/>
  <c r="H207" i="51"/>
  <c r="P206" i="51"/>
  <c r="R206" i="51" s="1"/>
  <c r="T206" i="51" s="1"/>
  <c r="N206" i="51"/>
  <c r="M206" i="51"/>
  <c r="L206" i="51"/>
  <c r="J206" i="51"/>
  <c r="R157" i="51"/>
  <c r="S157" i="51"/>
  <c r="T158" i="51"/>
  <c r="R153" i="51"/>
  <c r="T153" i="51" s="1"/>
  <c r="O153" i="51"/>
  <c r="J153" i="51"/>
  <c r="O157" i="51"/>
  <c r="J157" i="51"/>
  <c r="V207" i="51"/>
  <c r="V602" i="51"/>
  <c r="T159" i="51"/>
  <c r="O159" i="51"/>
  <c r="J159" i="51"/>
  <c r="T60" i="51"/>
  <c r="T22" i="51"/>
  <c r="T430" i="51"/>
  <c r="T429" i="51" s="1"/>
  <c r="T428" i="51" s="1"/>
  <c r="S32" i="51"/>
  <c r="S93" i="51"/>
  <c r="S108" i="51"/>
  <c r="S107" i="51" s="1"/>
  <c r="S250" i="51"/>
  <c r="S314" i="51"/>
  <c r="S313" i="51" s="1"/>
  <c r="S312" i="51" s="1"/>
  <c r="S415" i="51"/>
  <c r="S429" i="51"/>
  <c r="S428" i="51" s="1"/>
  <c r="S433" i="51"/>
  <c r="S432" i="51" s="1"/>
  <c r="S431" i="51" s="1"/>
  <c r="S492" i="51"/>
  <c r="S491" i="51" s="1"/>
  <c r="S577" i="51"/>
  <c r="S590" i="51"/>
  <c r="S597" i="51"/>
  <c r="S599" i="51"/>
  <c r="S632" i="51"/>
  <c r="S750" i="51"/>
  <c r="S756" i="51"/>
  <c r="S759" i="51"/>
  <c r="S769" i="51"/>
  <c r="S776" i="51"/>
  <c r="S805" i="51"/>
  <c r="S850" i="51"/>
  <c r="S847" i="51" s="1"/>
  <c r="S854" i="51"/>
  <c r="S853" i="51" s="1"/>
  <c r="J1087" i="51"/>
  <c r="J1073" i="51"/>
  <c r="G1073" i="51"/>
  <c r="G1072" i="51"/>
  <c r="R1039" i="51"/>
  <c r="N1039" i="51"/>
  <c r="O1039" i="51" s="1"/>
  <c r="R1038" i="51"/>
  <c r="O1038" i="51"/>
  <c r="J1038" i="51"/>
  <c r="R1036" i="51"/>
  <c r="O1036" i="51"/>
  <c r="J1036" i="51"/>
  <c r="K1035" i="51"/>
  <c r="K1032" i="51" s="1"/>
  <c r="I1035" i="51"/>
  <c r="I1034" i="51"/>
  <c r="K1034" i="51" s="1"/>
  <c r="K1033" i="51" s="1"/>
  <c r="I1031" i="51"/>
  <c r="I1030" i="51"/>
  <c r="K1030" i="51" s="1"/>
  <c r="I1029" i="51"/>
  <c r="J1029" i="51" s="1"/>
  <c r="I1028" i="51"/>
  <c r="K1028" i="51" s="1"/>
  <c r="I1027" i="51"/>
  <c r="I1026" i="51"/>
  <c r="I1025" i="51"/>
  <c r="J1025" i="51" s="1"/>
  <c r="I1024" i="51"/>
  <c r="K1024" i="51" s="1"/>
  <c r="I1023" i="51"/>
  <c r="I1022" i="51"/>
  <c r="I1021" i="51"/>
  <c r="K1021" i="51" s="1"/>
  <c r="I1020" i="51"/>
  <c r="I1019" i="51"/>
  <c r="J1019" i="51" s="1"/>
  <c r="I1018" i="51"/>
  <c r="K1018" i="51" s="1"/>
  <c r="I1017" i="51"/>
  <c r="I1016" i="51"/>
  <c r="I1015" i="51"/>
  <c r="K1015" i="51" s="1"/>
  <c r="I1014" i="51"/>
  <c r="I1013" i="51"/>
  <c r="I1012" i="51"/>
  <c r="K1012" i="51" s="1"/>
  <c r="I1011" i="51"/>
  <c r="K1011" i="51" s="1"/>
  <c r="I1010" i="51"/>
  <c r="I1009" i="51"/>
  <c r="I1008" i="51"/>
  <c r="J1008" i="51" s="1"/>
  <c r="L1008" i="51" s="1"/>
  <c r="I1007" i="51"/>
  <c r="K1007" i="51" s="1"/>
  <c r="I1006" i="51"/>
  <c r="K1006" i="51" s="1"/>
  <c r="I1005" i="51"/>
  <c r="K1005" i="51" s="1"/>
  <c r="I1004" i="51"/>
  <c r="K1004" i="51" s="1"/>
  <c r="I1003" i="51"/>
  <c r="I1002" i="51"/>
  <c r="I1001" i="51"/>
  <c r="J1001" i="51" s="1"/>
  <c r="I1000" i="51"/>
  <c r="K1000" i="51" s="1"/>
  <c r="I999" i="51"/>
  <c r="J999" i="51" s="1"/>
  <c r="I998" i="51"/>
  <c r="K998" i="51" s="1"/>
  <c r="I997" i="51"/>
  <c r="J997" i="51" s="1"/>
  <c r="I996" i="51"/>
  <c r="K996" i="51" s="1"/>
  <c r="I995" i="51"/>
  <c r="I994" i="51"/>
  <c r="K994" i="51" s="1"/>
  <c r="I993" i="51"/>
  <c r="K993" i="51" s="1"/>
  <c r="I992" i="51"/>
  <c r="I991" i="51"/>
  <c r="I990" i="51"/>
  <c r="J990" i="51" s="1"/>
  <c r="I989" i="51"/>
  <c r="K989" i="51" s="1"/>
  <c r="I988" i="51"/>
  <c r="I987" i="51"/>
  <c r="K987" i="51" s="1"/>
  <c r="I986" i="51"/>
  <c r="K986" i="51" s="1"/>
  <c r="I985" i="51"/>
  <c r="K985" i="51" s="1"/>
  <c r="I984" i="51"/>
  <c r="K984" i="51" s="1"/>
  <c r="I983" i="51"/>
  <c r="K983" i="51" s="1"/>
  <c r="I982" i="51"/>
  <c r="I981" i="51"/>
  <c r="I980" i="51"/>
  <c r="I979" i="51"/>
  <c r="K979" i="51" s="1"/>
  <c r="I978" i="51"/>
  <c r="K978" i="51" s="1"/>
  <c r="I977" i="51"/>
  <c r="I976" i="51"/>
  <c r="I975" i="51"/>
  <c r="J975" i="51" s="1"/>
  <c r="I974" i="51"/>
  <c r="K974" i="51" s="1"/>
  <c r="I973" i="51"/>
  <c r="I972" i="51"/>
  <c r="J972" i="51" s="1"/>
  <c r="I971" i="51"/>
  <c r="K971" i="51" s="1"/>
  <c r="I970" i="51"/>
  <c r="K970" i="51" s="1"/>
  <c r="I969" i="51"/>
  <c r="I968" i="51"/>
  <c r="I967" i="51"/>
  <c r="K967" i="51" s="1"/>
  <c r="I966" i="51"/>
  <c r="K966" i="51" s="1"/>
  <c r="I965" i="51"/>
  <c r="I964" i="51"/>
  <c r="K964" i="51" s="1"/>
  <c r="I963" i="51"/>
  <c r="K963" i="51" s="1"/>
  <c r="I962" i="51"/>
  <c r="I961" i="51"/>
  <c r="I960" i="51"/>
  <c r="K960" i="51" s="1"/>
  <c r="I959" i="51"/>
  <c r="K959" i="51" s="1"/>
  <c r="I958" i="51"/>
  <c r="I957" i="51"/>
  <c r="J957" i="51" s="1"/>
  <c r="I956" i="51"/>
  <c r="K956" i="51" s="1"/>
  <c r="I955" i="51"/>
  <c r="J955" i="51" s="1"/>
  <c r="I954" i="51"/>
  <c r="I953" i="51"/>
  <c r="K953" i="51" s="1"/>
  <c r="I952" i="51"/>
  <c r="K952" i="51" s="1"/>
  <c r="I951" i="51"/>
  <c r="K951" i="51" s="1"/>
  <c r="I950" i="51"/>
  <c r="I949" i="51"/>
  <c r="K949" i="51" s="1"/>
  <c r="I948" i="51"/>
  <c r="K948" i="51" s="1"/>
  <c r="I947" i="51"/>
  <c r="I946" i="51"/>
  <c r="I945" i="51"/>
  <c r="K945" i="51" s="1"/>
  <c r="I944" i="51"/>
  <c r="J944" i="51" s="1"/>
  <c r="L944" i="51" s="1"/>
  <c r="I943" i="51"/>
  <c r="K943" i="51" s="1"/>
  <c r="I942" i="51"/>
  <c r="K942" i="51" s="1"/>
  <c r="I941" i="51"/>
  <c r="J941" i="51" s="1"/>
  <c r="I940" i="51"/>
  <c r="J940" i="51" s="1"/>
  <c r="I939" i="51"/>
  <c r="I938" i="51"/>
  <c r="K938" i="51" s="1"/>
  <c r="I937" i="51"/>
  <c r="K937" i="51" s="1"/>
  <c r="I936" i="51"/>
  <c r="K936" i="51" s="1"/>
  <c r="I935" i="51"/>
  <c r="I934" i="51"/>
  <c r="K934" i="51" s="1"/>
  <c r="I933" i="51"/>
  <c r="J933" i="51" s="1"/>
  <c r="L933" i="51" s="1"/>
  <c r="I932" i="51"/>
  <c r="J932" i="51" s="1"/>
  <c r="I931" i="51"/>
  <c r="I930" i="51"/>
  <c r="K930" i="51" s="1"/>
  <c r="I929" i="51"/>
  <c r="K929" i="51" s="1"/>
  <c r="I928" i="51"/>
  <c r="I927" i="51"/>
  <c r="K927" i="51" s="1"/>
  <c r="I926" i="51"/>
  <c r="K926" i="51" s="1"/>
  <c r="I925" i="51"/>
  <c r="J925" i="51" s="1"/>
  <c r="I924" i="51"/>
  <c r="K924" i="51" s="1"/>
  <c r="I923" i="51"/>
  <c r="I922" i="51"/>
  <c r="J922" i="51" s="1"/>
  <c r="I921" i="51"/>
  <c r="K921" i="51" s="1"/>
  <c r="I920" i="51"/>
  <c r="K920" i="51" s="1"/>
  <c r="I919" i="51"/>
  <c r="K919" i="51" s="1"/>
  <c r="I918" i="51"/>
  <c r="K918" i="51" s="1"/>
  <c r="I917" i="51"/>
  <c r="J917" i="51" s="1"/>
  <c r="I916" i="51"/>
  <c r="K916" i="51" s="1"/>
  <c r="I915" i="51"/>
  <c r="I914" i="51"/>
  <c r="K914" i="51" s="1"/>
  <c r="I913" i="51"/>
  <c r="J913" i="51" s="1"/>
  <c r="L913" i="51" s="1"/>
  <c r="I912" i="51"/>
  <c r="K912" i="51" s="1"/>
  <c r="I911" i="51"/>
  <c r="J911" i="51" s="1"/>
  <c r="I910" i="51"/>
  <c r="I909" i="51"/>
  <c r="I908" i="51"/>
  <c r="K908" i="51" s="1"/>
  <c r="I907" i="51"/>
  <c r="J907" i="51" s="1"/>
  <c r="I906" i="51"/>
  <c r="I905" i="51"/>
  <c r="J905" i="51" s="1"/>
  <c r="L905" i="51" s="1"/>
  <c r="I904" i="51"/>
  <c r="I903" i="51"/>
  <c r="I902" i="51"/>
  <c r="I901" i="51"/>
  <c r="J901" i="51" s="1"/>
  <c r="I900" i="51"/>
  <c r="J900" i="51" s="1"/>
  <c r="I899" i="51"/>
  <c r="I898" i="51"/>
  <c r="K898" i="51" s="1"/>
  <c r="I897" i="51"/>
  <c r="I896" i="51"/>
  <c r="I895" i="51"/>
  <c r="I894" i="51"/>
  <c r="I893" i="51"/>
  <c r="K893" i="51" s="1"/>
  <c r="I892" i="51"/>
  <c r="K892" i="51" s="1"/>
  <c r="I891" i="51"/>
  <c r="J891" i="51" s="1"/>
  <c r="I890" i="51"/>
  <c r="I889" i="51"/>
  <c r="I888" i="51"/>
  <c r="I887" i="51"/>
  <c r="J887" i="51" s="1"/>
  <c r="L887" i="51" s="1"/>
  <c r="I886" i="51"/>
  <c r="J886" i="51" s="1"/>
  <c r="I885" i="51"/>
  <c r="I884" i="51"/>
  <c r="J884" i="51" s="1"/>
  <c r="L884" i="51" s="1"/>
  <c r="I883" i="51"/>
  <c r="I882" i="51"/>
  <c r="K882" i="51" s="1"/>
  <c r="I881" i="51"/>
  <c r="K881" i="51" s="1"/>
  <c r="I880" i="51"/>
  <c r="I879" i="51"/>
  <c r="I878" i="51"/>
  <c r="K878" i="51" s="1"/>
  <c r="I877" i="51"/>
  <c r="K877" i="51" s="1"/>
  <c r="I876" i="51"/>
  <c r="Q873" i="51"/>
  <c r="Q872" i="51" s="1"/>
  <c r="P873" i="51"/>
  <c r="P872" i="51" s="1"/>
  <c r="N873" i="51"/>
  <c r="N872" i="51" s="1"/>
  <c r="M873" i="51"/>
  <c r="M872" i="51" s="1"/>
  <c r="L873" i="51"/>
  <c r="L872" i="51" s="1"/>
  <c r="K873" i="51"/>
  <c r="K872" i="51" s="1"/>
  <c r="I873" i="51"/>
  <c r="I872" i="51" s="1"/>
  <c r="H873" i="51"/>
  <c r="H872" i="51" s="1"/>
  <c r="G873" i="51"/>
  <c r="R867" i="51"/>
  <c r="S867" i="51" s="1"/>
  <c r="J867" i="51"/>
  <c r="Q866" i="51"/>
  <c r="P866" i="51"/>
  <c r="O866" i="51"/>
  <c r="N866" i="51"/>
  <c r="M866" i="51"/>
  <c r="L866" i="51"/>
  <c r="K866" i="51"/>
  <c r="I866" i="51"/>
  <c r="H866" i="51"/>
  <c r="R865" i="51"/>
  <c r="R864" i="51" s="1"/>
  <c r="O865" i="51"/>
  <c r="O864" i="51" s="1"/>
  <c r="J865" i="51"/>
  <c r="Q864" i="51"/>
  <c r="Q858" i="51" s="1"/>
  <c r="Q857" i="51" s="1"/>
  <c r="P864" i="51"/>
  <c r="P858" i="51" s="1"/>
  <c r="P857" i="51" s="1"/>
  <c r="N864" i="51"/>
  <c r="N858" i="51" s="1"/>
  <c r="N857" i="51" s="1"/>
  <c r="M864" i="51"/>
  <c r="M858" i="51" s="1"/>
  <c r="M857" i="51" s="1"/>
  <c r="L864" i="51"/>
  <c r="L858" i="51" s="1"/>
  <c r="L857" i="51" s="1"/>
  <c r="K864" i="51"/>
  <c r="I864" i="51"/>
  <c r="H864" i="51"/>
  <c r="R863" i="51"/>
  <c r="S863" i="51" s="1"/>
  <c r="T863" i="51" s="1"/>
  <c r="O863" i="51"/>
  <c r="Q862" i="51"/>
  <c r="P862" i="51"/>
  <c r="N862" i="51"/>
  <c r="M862" i="51"/>
  <c r="L862" i="51"/>
  <c r="K862" i="51"/>
  <c r="I862" i="51"/>
  <c r="H862" i="51"/>
  <c r="R861" i="51"/>
  <c r="O861" i="51"/>
  <c r="J861" i="51"/>
  <c r="R860" i="51"/>
  <c r="O860" i="51"/>
  <c r="J860" i="51"/>
  <c r="R859" i="51"/>
  <c r="S859" i="51" s="1"/>
  <c r="J859" i="51"/>
  <c r="G858" i="51"/>
  <c r="G857" i="51" s="1"/>
  <c r="R856" i="51"/>
  <c r="R854" i="51" s="1"/>
  <c r="R853" i="51" s="1"/>
  <c r="O856" i="51"/>
  <c r="O854" i="51" s="1"/>
  <c r="O853" i="51" s="1"/>
  <c r="J856" i="51"/>
  <c r="Q854" i="51"/>
  <c r="Q853" i="51" s="1"/>
  <c r="P854" i="51"/>
  <c r="P853" i="51" s="1"/>
  <c r="N854" i="51"/>
  <c r="N853" i="51" s="1"/>
  <c r="M854" i="51"/>
  <c r="M853" i="51" s="1"/>
  <c r="L854" i="51"/>
  <c r="L853" i="51" s="1"/>
  <c r="K854" i="51"/>
  <c r="K853" i="51" s="1"/>
  <c r="I854" i="51"/>
  <c r="I853" i="51" s="1"/>
  <c r="H854" i="51"/>
  <c r="H853" i="51" s="1"/>
  <c r="G853" i="51"/>
  <c r="R851" i="51"/>
  <c r="R850" i="51" s="1"/>
  <c r="R847" i="51" s="1"/>
  <c r="O851" i="51"/>
  <c r="O850" i="51" s="1"/>
  <c r="J851" i="51"/>
  <c r="J850" i="51" s="1"/>
  <c r="Q850" i="51"/>
  <c r="P850" i="51"/>
  <c r="N850" i="51"/>
  <c r="M850" i="51"/>
  <c r="L850" i="51"/>
  <c r="K850" i="51"/>
  <c r="I850" i="51"/>
  <c r="H850" i="51"/>
  <c r="R849" i="51"/>
  <c r="S849" i="51" s="1"/>
  <c r="S848" i="51" s="1"/>
  <c r="O849" i="51"/>
  <c r="O848" i="51" s="1"/>
  <c r="J849" i="51"/>
  <c r="Q848" i="51"/>
  <c r="P848" i="51"/>
  <c r="N848" i="51"/>
  <c r="M848" i="51"/>
  <c r="L848" i="51"/>
  <c r="K848" i="51"/>
  <c r="I848" i="51"/>
  <c r="H848" i="51"/>
  <c r="R825" i="51"/>
  <c r="O825" i="51"/>
  <c r="R824" i="51"/>
  <c r="S824" i="51" s="1"/>
  <c r="T824" i="51" s="1"/>
  <c r="U824" i="51" s="1"/>
  <c r="O824" i="51"/>
  <c r="J824" i="51"/>
  <c r="J823" i="51"/>
  <c r="K822" i="51"/>
  <c r="I822" i="51"/>
  <c r="J822" i="51" s="1"/>
  <c r="J821" i="51"/>
  <c r="L821" i="51" s="1"/>
  <c r="N821" i="51" s="1"/>
  <c r="J820" i="51"/>
  <c r="R819" i="51"/>
  <c r="O819" i="51"/>
  <c r="R818" i="51"/>
  <c r="S818" i="51" s="1"/>
  <c r="O818" i="51"/>
  <c r="R817" i="51"/>
  <c r="S817" i="51" s="1"/>
  <c r="T817" i="51" s="1"/>
  <c r="O817" i="51"/>
  <c r="R816" i="51"/>
  <c r="S816" i="51" s="1"/>
  <c r="T816" i="51" s="1"/>
  <c r="O816" i="51"/>
  <c r="R815" i="51"/>
  <c r="O815" i="51"/>
  <c r="K815" i="51"/>
  <c r="K809" i="51" s="1"/>
  <c r="I815" i="51"/>
  <c r="R814" i="51"/>
  <c r="S814" i="51" s="1"/>
  <c r="O814" i="51"/>
  <c r="I814" i="51"/>
  <c r="J814" i="51" s="1"/>
  <c r="R813" i="51"/>
  <c r="S813" i="51" s="1"/>
  <c r="T813" i="51" s="1"/>
  <c r="O813" i="51"/>
  <c r="I813" i="51"/>
  <c r="J813" i="51" s="1"/>
  <c r="R812" i="51"/>
  <c r="O812" i="51"/>
  <c r="J812" i="51"/>
  <c r="R811" i="51"/>
  <c r="S811" i="51" s="1"/>
  <c r="T811" i="51" s="1"/>
  <c r="O811" i="51"/>
  <c r="R810" i="51"/>
  <c r="O810" i="51"/>
  <c r="J810" i="51"/>
  <c r="Q809" i="51"/>
  <c r="P809" i="51"/>
  <c r="N809" i="51"/>
  <c r="M809" i="51"/>
  <c r="L809" i="51"/>
  <c r="H809" i="51"/>
  <c r="R808" i="51"/>
  <c r="S808" i="51" s="1"/>
  <c r="O808" i="51"/>
  <c r="J808" i="51"/>
  <c r="R807" i="51"/>
  <c r="O807" i="51"/>
  <c r="R806" i="51"/>
  <c r="R805" i="51" s="1"/>
  <c r="O806" i="51"/>
  <c r="O805" i="51" s="1"/>
  <c r="J806" i="51"/>
  <c r="Q805" i="51"/>
  <c r="Q804" i="51" s="1"/>
  <c r="Q803" i="51" s="1"/>
  <c r="P805" i="51"/>
  <c r="P804" i="51" s="1"/>
  <c r="P803" i="51" s="1"/>
  <c r="N805" i="51"/>
  <c r="N804" i="51" s="1"/>
  <c r="N803" i="51" s="1"/>
  <c r="M805" i="51"/>
  <c r="M804" i="51" s="1"/>
  <c r="M803" i="51" s="1"/>
  <c r="L805" i="51"/>
  <c r="K805" i="51"/>
  <c r="I805" i="51"/>
  <c r="H805" i="51"/>
  <c r="H804" i="51" s="1"/>
  <c r="H803" i="51" s="1"/>
  <c r="G805" i="51"/>
  <c r="G804" i="51" s="1"/>
  <c r="G803" i="51" s="1"/>
  <c r="R801" i="51"/>
  <c r="O801" i="51"/>
  <c r="O800" i="51" s="1"/>
  <c r="J801" i="51"/>
  <c r="J800" i="51" s="1"/>
  <c r="Q800" i="51"/>
  <c r="P800" i="51"/>
  <c r="N800" i="51"/>
  <c r="M800" i="51"/>
  <c r="L800" i="51"/>
  <c r="K800" i="51"/>
  <c r="I800" i="51"/>
  <c r="H800" i="51"/>
  <c r="R799" i="51"/>
  <c r="S799" i="51" s="1"/>
  <c r="O799" i="51"/>
  <c r="O798" i="51" s="1"/>
  <c r="J799" i="51"/>
  <c r="Q798" i="51"/>
  <c r="P798" i="51"/>
  <c r="N798" i="51"/>
  <c r="M798" i="51"/>
  <c r="L798" i="51"/>
  <c r="K798" i="51"/>
  <c r="I798" i="51"/>
  <c r="H798" i="51"/>
  <c r="R797" i="51"/>
  <c r="R795" i="51" s="1"/>
  <c r="O797" i="51"/>
  <c r="O795" i="51" s="1"/>
  <c r="Q795" i="51"/>
  <c r="P795" i="51"/>
  <c r="N795" i="51"/>
  <c r="M795" i="51"/>
  <c r="L795" i="51"/>
  <c r="K795" i="51"/>
  <c r="R792" i="51"/>
  <c r="T792" i="51" s="1"/>
  <c r="V792" i="51" s="1"/>
  <c r="X792" i="51" s="1"/>
  <c r="Z792" i="51" s="1"/>
  <c r="O792" i="51"/>
  <c r="O779" i="51" s="1"/>
  <c r="J792" i="51"/>
  <c r="Q779" i="51"/>
  <c r="P779" i="51"/>
  <c r="N779" i="51"/>
  <c r="M779" i="51"/>
  <c r="L779" i="51"/>
  <c r="K779" i="51"/>
  <c r="I779" i="51"/>
  <c r="H779" i="51"/>
  <c r="R778" i="51"/>
  <c r="S778" i="51" s="1"/>
  <c r="T778" i="51" s="1"/>
  <c r="O778" i="51"/>
  <c r="R777" i="51"/>
  <c r="R776" i="51" s="1"/>
  <c r="O777" i="51"/>
  <c r="O776" i="51" s="1"/>
  <c r="J777" i="51"/>
  <c r="Q776" i="51"/>
  <c r="P776" i="51"/>
  <c r="N776" i="51"/>
  <c r="M776" i="51"/>
  <c r="L776" i="51"/>
  <c r="K776" i="51"/>
  <c r="I776" i="51"/>
  <c r="H776" i="51"/>
  <c r="I773" i="51"/>
  <c r="R775" i="51"/>
  <c r="O775" i="51"/>
  <c r="J775" i="51"/>
  <c r="R774" i="51"/>
  <c r="O774" i="51"/>
  <c r="J774" i="51"/>
  <c r="Q773" i="51"/>
  <c r="P773" i="51"/>
  <c r="N773" i="51"/>
  <c r="M773" i="51"/>
  <c r="L773" i="51"/>
  <c r="K773" i="51"/>
  <c r="H773" i="51"/>
  <c r="R772" i="51"/>
  <c r="O772" i="51"/>
  <c r="O771" i="51" s="1"/>
  <c r="Q771" i="51"/>
  <c r="P771" i="51"/>
  <c r="N771" i="51"/>
  <c r="M771" i="51"/>
  <c r="L771" i="51"/>
  <c r="R770" i="51"/>
  <c r="O770" i="51"/>
  <c r="O769" i="51" s="1"/>
  <c r="J770" i="51"/>
  <c r="Q769" i="51"/>
  <c r="P769" i="51"/>
  <c r="N769" i="51"/>
  <c r="M769" i="51"/>
  <c r="L769" i="51"/>
  <c r="K769" i="51"/>
  <c r="I769" i="51"/>
  <c r="H769" i="51"/>
  <c r="G768" i="51"/>
  <c r="R767" i="51"/>
  <c r="J767" i="51"/>
  <c r="R766" i="51"/>
  <c r="O766" i="51"/>
  <c r="O765" i="51" s="1"/>
  <c r="O764" i="51" s="1"/>
  <c r="Q765" i="51"/>
  <c r="Q764" i="51" s="1"/>
  <c r="P765" i="51"/>
  <c r="P764" i="51" s="1"/>
  <c r="N765" i="51"/>
  <c r="N764" i="51" s="1"/>
  <c r="M765" i="51"/>
  <c r="M764" i="51" s="1"/>
  <c r="L765" i="51"/>
  <c r="L764" i="51" s="1"/>
  <c r="K765" i="51"/>
  <c r="K764" i="51" s="1"/>
  <c r="I765" i="51"/>
  <c r="H765" i="51"/>
  <c r="H764" i="51" s="1"/>
  <c r="G764" i="51"/>
  <c r="I762" i="51"/>
  <c r="R763" i="51"/>
  <c r="J763" i="51"/>
  <c r="G762" i="51"/>
  <c r="R760" i="51"/>
  <c r="T760" i="51" s="1"/>
  <c r="T759" i="51" s="1"/>
  <c r="O760" i="51"/>
  <c r="O759" i="51" s="1"/>
  <c r="J760" i="51"/>
  <c r="Q759" i="51"/>
  <c r="P759" i="51"/>
  <c r="N759" i="51"/>
  <c r="M759" i="51"/>
  <c r="L759" i="51"/>
  <c r="K759" i="51"/>
  <c r="I759" i="51"/>
  <c r="H759" i="51"/>
  <c r="R757" i="51"/>
  <c r="R756" i="51" s="1"/>
  <c r="N757" i="51"/>
  <c r="O757" i="51" s="1"/>
  <c r="O756" i="51" s="1"/>
  <c r="J757" i="51"/>
  <c r="Q756" i="51"/>
  <c r="P756" i="51"/>
  <c r="M756" i="51"/>
  <c r="L756" i="51"/>
  <c r="K756" i="51"/>
  <c r="I756" i="51"/>
  <c r="H756" i="51"/>
  <c r="R754" i="51"/>
  <c r="O754" i="51"/>
  <c r="O753" i="51" s="1"/>
  <c r="J754" i="51"/>
  <c r="Q753" i="51"/>
  <c r="P753" i="51"/>
  <c r="N753" i="51"/>
  <c r="M753" i="51"/>
  <c r="L753" i="51"/>
  <c r="K753" i="51"/>
  <c r="I753" i="51"/>
  <c r="H753" i="51"/>
  <c r="R752" i="51"/>
  <c r="O752" i="51"/>
  <c r="J752" i="51"/>
  <c r="R751" i="51"/>
  <c r="T751" i="51" s="1"/>
  <c r="O751" i="51"/>
  <c r="J751" i="51"/>
  <c r="Q750" i="51"/>
  <c r="P750" i="51"/>
  <c r="N750" i="51"/>
  <c r="M750" i="51"/>
  <c r="L750" i="51"/>
  <c r="K750" i="51"/>
  <c r="I750" i="51"/>
  <c r="H750" i="51"/>
  <c r="M749" i="51"/>
  <c r="J749" i="51"/>
  <c r="L749" i="51" s="1"/>
  <c r="L748" i="51" s="1"/>
  <c r="L743" i="51" s="1"/>
  <c r="K748" i="51"/>
  <c r="K743" i="51" s="1"/>
  <c r="I748" i="51"/>
  <c r="I743" i="51" s="1"/>
  <c r="I747" i="51"/>
  <c r="I746" i="51"/>
  <c r="K746" i="51" s="1"/>
  <c r="I745" i="51"/>
  <c r="K745" i="51" s="1"/>
  <c r="M740" i="51"/>
  <c r="M739" i="51" s="1"/>
  <c r="J740" i="51"/>
  <c r="J739" i="51" s="1"/>
  <c r="K739" i="51"/>
  <c r="I739" i="51"/>
  <c r="M738" i="51"/>
  <c r="M737" i="51" s="1"/>
  <c r="J738" i="51"/>
  <c r="L738" i="51" s="1"/>
  <c r="K737" i="51"/>
  <c r="I737" i="51"/>
  <c r="I736" i="51" s="1"/>
  <c r="M735" i="51"/>
  <c r="O735" i="51" s="1"/>
  <c r="O734" i="51" s="1"/>
  <c r="J735" i="51"/>
  <c r="L735" i="51" s="1"/>
  <c r="L734" i="51" s="1"/>
  <c r="K734" i="51"/>
  <c r="I734" i="51"/>
  <c r="M733" i="51"/>
  <c r="O733" i="51" s="1"/>
  <c r="O732" i="51" s="1"/>
  <c r="J733" i="51"/>
  <c r="L733" i="51" s="1"/>
  <c r="L732" i="51" s="1"/>
  <c r="L731" i="51" s="1"/>
  <c r="K732" i="51"/>
  <c r="K731" i="51" s="1"/>
  <c r="I732" i="51"/>
  <c r="I731" i="51" s="1"/>
  <c r="G731" i="51"/>
  <c r="G727" i="51" s="1"/>
  <c r="M730" i="51"/>
  <c r="O730" i="51" s="1"/>
  <c r="J730" i="51"/>
  <c r="K729" i="51"/>
  <c r="K728" i="51" s="1"/>
  <c r="I729" i="51"/>
  <c r="I728" i="51" s="1"/>
  <c r="Q721" i="51"/>
  <c r="P721" i="51"/>
  <c r="N721" i="51"/>
  <c r="M721" i="51"/>
  <c r="L721" i="51"/>
  <c r="K721" i="51"/>
  <c r="I721" i="51"/>
  <c r="R706" i="51"/>
  <c r="O706" i="51"/>
  <c r="J706" i="51"/>
  <c r="R705" i="51"/>
  <c r="O705" i="51"/>
  <c r="J705" i="51"/>
  <c r="R704" i="51"/>
  <c r="T704" i="51" s="1"/>
  <c r="O704" i="51"/>
  <c r="J704" i="51"/>
  <c r="R701" i="51"/>
  <c r="O701" i="51"/>
  <c r="I701" i="51"/>
  <c r="J701" i="51" s="1"/>
  <c r="R700" i="51"/>
  <c r="O700" i="51"/>
  <c r="I700" i="51"/>
  <c r="Q699" i="51"/>
  <c r="P699" i="51"/>
  <c r="N699" i="51"/>
  <c r="M699" i="51"/>
  <c r="L699" i="51"/>
  <c r="K699" i="51"/>
  <c r="H699" i="51"/>
  <c r="G699" i="51"/>
  <c r="R698" i="51"/>
  <c r="S698" i="51" s="1"/>
  <c r="R697" i="51"/>
  <c r="S697" i="51" s="1"/>
  <c r="Q696" i="51"/>
  <c r="P696" i="51"/>
  <c r="O696" i="51"/>
  <c r="N696" i="51"/>
  <c r="M696" i="51"/>
  <c r="L696" i="51"/>
  <c r="K696" i="51"/>
  <c r="R695" i="51"/>
  <c r="O695" i="51"/>
  <c r="O694" i="51" s="1"/>
  <c r="I695" i="51"/>
  <c r="Q694" i="51"/>
  <c r="P694" i="51"/>
  <c r="N694" i="51"/>
  <c r="M694" i="51"/>
  <c r="L694" i="51"/>
  <c r="K694" i="51"/>
  <c r="H694" i="51"/>
  <c r="R693" i="51"/>
  <c r="O693" i="51"/>
  <c r="J693" i="51"/>
  <c r="R692" i="51"/>
  <c r="T692" i="51" s="1"/>
  <c r="O692" i="51"/>
  <c r="J692" i="51"/>
  <c r="R691" i="51"/>
  <c r="T691" i="51" s="1"/>
  <c r="O691" i="51"/>
  <c r="J691" i="51"/>
  <c r="R690" i="51"/>
  <c r="O690" i="51"/>
  <c r="J690" i="51"/>
  <c r="Q689" i="51"/>
  <c r="P689" i="51"/>
  <c r="N689" i="51"/>
  <c r="M689" i="51"/>
  <c r="L689" i="51"/>
  <c r="K689" i="51"/>
  <c r="I689" i="51"/>
  <c r="H689" i="51"/>
  <c r="H670" i="51" s="1"/>
  <c r="G689" i="51"/>
  <c r="G670" i="51" s="1"/>
  <c r="G663" i="51" s="1"/>
  <c r="M688" i="51"/>
  <c r="O688" i="51" s="1"/>
  <c r="J688" i="51"/>
  <c r="L688" i="51" s="1"/>
  <c r="K687" i="51"/>
  <c r="I687" i="51"/>
  <c r="M686" i="51"/>
  <c r="O686" i="51" s="1"/>
  <c r="O685" i="51" s="1"/>
  <c r="O683" i="51" s="1"/>
  <c r="J686" i="51"/>
  <c r="J685" i="51" s="1"/>
  <c r="J683" i="51" s="1"/>
  <c r="K685" i="51"/>
  <c r="I685" i="51"/>
  <c r="M684" i="51"/>
  <c r="O684" i="51" s="1"/>
  <c r="J684" i="51"/>
  <c r="L684" i="51" s="1"/>
  <c r="K683" i="51"/>
  <c r="I683" i="51"/>
  <c r="M682" i="51"/>
  <c r="O682" i="51" s="1"/>
  <c r="O681" i="51" s="1"/>
  <c r="J682" i="51"/>
  <c r="L682" i="51" s="1"/>
  <c r="K681" i="51"/>
  <c r="I681" i="51"/>
  <c r="I675" i="51" s="1"/>
  <c r="M680" i="51"/>
  <c r="M679" i="51" s="1"/>
  <c r="J680" i="51"/>
  <c r="J679" i="51" s="1"/>
  <c r="M678" i="51"/>
  <c r="O678" i="51" s="1"/>
  <c r="J678" i="51"/>
  <c r="M677" i="51"/>
  <c r="O677" i="51" s="1"/>
  <c r="Q677" i="51" s="1"/>
  <c r="S677" i="51" s="1"/>
  <c r="J677" i="51"/>
  <c r="L677" i="51" s="1"/>
  <c r="M674" i="51"/>
  <c r="O674" i="51" s="1"/>
  <c r="Q674" i="51" s="1"/>
  <c r="S674" i="51" s="1"/>
  <c r="U674" i="51" s="1"/>
  <c r="W674" i="51" s="1"/>
  <c r="Y674" i="51" s="1"/>
  <c r="J674" i="51"/>
  <c r="L674" i="51" s="1"/>
  <c r="N674" i="51" s="1"/>
  <c r="P674" i="51" s="1"/>
  <c r="R674" i="51" s="1"/>
  <c r="T674" i="51" s="1"/>
  <c r="V674" i="51" s="1"/>
  <c r="X674" i="51" s="1"/>
  <c r="Z674" i="51" s="1"/>
  <c r="M673" i="51"/>
  <c r="O673" i="51" s="1"/>
  <c r="Q673" i="51" s="1"/>
  <c r="S673" i="51" s="1"/>
  <c r="U673" i="51" s="1"/>
  <c r="W673" i="51" s="1"/>
  <c r="Y673" i="51" s="1"/>
  <c r="J673" i="51"/>
  <c r="M672" i="51"/>
  <c r="J672" i="51"/>
  <c r="L672" i="51" s="1"/>
  <c r="N672" i="51" s="1"/>
  <c r="P672" i="51" s="1"/>
  <c r="K671" i="51"/>
  <c r="I671" i="51"/>
  <c r="I669" i="51"/>
  <c r="J669" i="51" s="1"/>
  <c r="L669" i="51" s="1"/>
  <c r="N669" i="51" s="1"/>
  <c r="N668" i="51" s="1"/>
  <c r="I667" i="51"/>
  <c r="I666" i="51" s="1"/>
  <c r="R661" i="51"/>
  <c r="T661" i="51" s="1"/>
  <c r="V661" i="51" s="1"/>
  <c r="X661" i="51" s="1"/>
  <c r="Z661" i="51" s="1"/>
  <c r="O661" i="51"/>
  <c r="R660" i="51"/>
  <c r="V660" i="51"/>
  <c r="X660" i="51" s="1"/>
  <c r="Z660" i="51" s="1"/>
  <c r="O660" i="51"/>
  <c r="J660" i="51"/>
  <c r="R659" i="51"/>
  <c r="S659" i="51" s="1"/>
  <c r="O659" i="51"/>
  <c r="R658" i="51"/>
  <c r="T658" i="51" s="1"/>
  <c r="V658" i="51" s="1"/>
  <c r="X658" i="51" s="1"/>
  <c r="Z658" i="51" s="1"/>
  <c r="O658" i="51"/>
  <c r="J658" i="51"/>
  <c r="R657" i="51"/>
  <c r="V657" i="51"/>
  <c r="X657" i="51" s="1"/>
  <c r="Z657" i="51" s="1"/>
  <c r="O657" i="51"/>
  <c r="J657" i="51"/>
  <c r="J656" i="51"/>
  <c r="R655" i="51"/>
  <c r="O655" i="51"/>
  <c r="J655" i="51"/>
  <c r="N654" i="51"/>
  <c r="L654" i="51"/>
  <c r="K654" i="51"/>
  <c r="I654" i="51"/>
  <c r="H654" i="51"/>
  <c r="R653" i="51"/>
  <c r="R652" i="51"/>
  <c r="T652" i="51" s="1"/>
  <c r="V652" i="51" s="1"/>
  <c r="X652" i="51" s="1"/>
  <c r="Z652" i="51" s="1"/>
  <c r="O652" i="51"/>
  <c r="J652" i="51"/>
  <c r="R651" i="51"/>
  <c r="T651" i="51" s="1"/>
  <c r="V651" i="51" s="1"/>
  <c r="X651" i="51" s="1"/>
  <c r="Z651" i="51" s="1"/>
  <c r="O651" i="51"/>
  <c r="J651" i="51"/>
  <c r="R650" i="51"/>
  <c r="T650" i="51" s="1"/>
  <c r="V650" i="51" s="1"/>
  <c r="X650" i="51" s="1"/>
  <c r="Z650" i="51" s="1"/>
  <c r="O650" i="51"/>
  <c r="J650" i="51"/>
  <c r="J647" i="51"/>
  <c r="L647" i="51" s="1"/>
  <c r="R645" i="51"/>
  <c r="V645" i="51"/>
  <c r="X645" i="51" s="1"/>
  <c r="Z645" i="51" s="1"/>
  <c r="O645" i="51"/>
  <c r="J645" i="51"/>
  <c r="R644" i="51"/>
  <c r="O644" i="51"/>
  <c r="J644" i="51"/>
  <c r="N643" i="51"/>
  <c r="L643" i="51"/>
  <c r="K643" i="51"/>
  <c r="I643" i="51"/>
  <c r="H643" i="51"/>
  <c r="G643" i="51"/>
  <c r="G601" i="51" s="1"/>
  <c r="R633" i="51"/>
  <c r="R632" i="51" s="1"/>
  <c r="O633" i="51"/>
  <c r="O632" i="51" s="1"/>
  <c r="J633" i="51"/>
  <c r="Q632" i="51"/>
  <c r="P632" i="51"/>
  <c r="N632" i="51"/>
  <c r="M632" i="51"/>
  <c r="L632" i="51"/>
  <c r="K632" i="51"/>
  <c r="I632" i="51"/>
  <c r="H632" i="51"/>
  <c r="M631" i="51"/>
  <c r="O631" i="51" s="1"/>
  <c r="J631" i="51"/>
  <c r="L631" i="51" s="1"/>
  <c r="N631" i="51" s="1"/>
  <c r="P631" i="51" s="1"/>
  <c r="M630" i="51"/>
  <c r="O630" i="51" s="1"/>
  <c r="Q630" i="51" s="1"/>
  <c r="J630" i="51"/>
  <c r="L630" i="51" s="1"/>
  <c r="N630" i="51" s="1"/>
  <c r="M629" i="51"/>
  <c r="O629" i="51" s="1"/>
  <c r="Q629" i="51" s="1"/>
  <c r="J629" i="51"/>
  <c r="M628" i="51"/>
  <c r="O628" i="51" s="1"/>
  <c r="Q628" i="51" s="1"/>
  <c r="J628" i="51"/>
  <c r="L628" i="51" s="1"/>
  <c r="N628" i="51" s="1"/>
  <c r="P628" i="51" s="1"/>
  <c r="M627" i="51"/>
  <c r="O627" i="51" s="1"/>
  <c r="Q627" i="51" s="1"/>
  <c r="J627" i="51"/>
  <c r="L627" i="51" s="1"/>
  <c r="M623" i="51"/>
  <c r="O623" i="51" s="1"/>
  <c r="J623" i="51"/>
  <c r="L623" i="51" s="1"/>
  <c r="M622" i="51"/>
  <c r="O622" i="51" s="1"/>
  <c r="Q622" i="51" s="1"/>
  <c r="J622" i="51"/>
  <c r="M621" i="51"/>
  <c r="O621" i="51" s="1"/>
  <c r="J621" i="51"/>
  <c r="L621" i="51" s="1"/>
  <c r="K620" i="51"/>
  <c r="I620" i="51"/>
  <c r="M618" i="51"/>
  <c r="O618" i="51" s="1"/>
  <c r="O610" i="51" s="1"/>
  <c r="O608" i="51" s="1"/>
  <c r="J618" i="51"/>
  <c r="L618" i="51" s="1"/>
  <c r="L610" i="51" s="1"/>
  <c r="L608" i="51" s="1"/>
  <c r="K610" i="51"/>
  <c r="K608" i="51" s="1"/>
  <c r="I610" i="51"/>
  <c r="I608" i="51" s="1"/>
  <c r="M606" i="51"/>
  <c r="M605" i="51" s="1"/>
  <c r="J606" i="51"/>
  <c r="J605" i="51" s="1"/>
  <c r="K605" i="51"/>
  <c r="I605" i="51"/>
  <c r="R600" i="51"/>
  <c r="R599" i="51" s="1"/>
  <c r="O600" i="51"/>
  <c r="O599" i="51" s="1"/>
  <c r="J600" i="51"/>
  <c r="Q599" i="51"/>
  <c r="P599" i="51"/>
  <c r="N599" i="51"/>
  <c r="M599" i="51"/>
  <c r="L599" i="51"/>
  <c r="L596" i="51" s="1"/>
  <c r="K599" i="51"/>
  <c r="K596" i="51" s="1"/>
  <c r="I599" i="51"/>
  <c r="I596" i="51" s="1"/>
  <c r="H599" i="51"/>
  <c r="R598" i="51"/>
  <c r="R597" i="51" s="1"/>
  <c r="O598" i="51"/>
  <c r="O597" i="51" s="1"/>
  <c r="J598" i="51"/>
  <c r="L598" i="51" s="1"/>
  <c r="L597" i="51" s="1"/>
  <c r="Q597" i="51"/>
  <c r="P597" i="51"/>
  <c r="N597" i="51"/>
  <c r="M597" i="51"/>
  <c r="K597" i="51"/>
  <c r="I597" i="51"/>
  <c r="G596" i="51"/>
  <c r="R595" i="51"/>
  <c r="J595" i="51"/>
  <c r="Q594" i="51"/>
  <c r="Q593" i="51" s="1"/>
  <c r="P594" i="51"/>
  <c r="P593" i="51" s="1"/>
  <c r="O594" i="51"/>
  <c r="O593" i="51" s="1"/>
  <c r="N594" i="51"/>
  <c r="N593" i="51" s="1"/>
  <c r="M594" i="51"/>
  <c r="M593" i="51" s="1"/>
  <c r="L594" i="51"/>
  <c r="L593" i="51" s="1"/>
  <c r="K594" i="51"/>
  <c r="K593" i="51" s="1"/>
  <c r="I594" i="51"/>
  <c r="H594" i="51"/>
  <c r="H593" i="51" s="1"/>
  <c r="R591" i="51"/>
  <c r="R590" i="51" s="1"/>
  <c r="O591" i="51"/>
  <c r="O590" i="51" s="1"/>
  <c r="Q590" i="51"/>
  <c r="P590" i="51"/>
  <c r="N590" i="51"/>
  <c r="M590" i="51"/>
  <c r="L590" i="51"/>
  <c r="K590" i="51"/>
  <c r="J590" i="51"/>
  <c r="I590" i="51"/>
  <c r="H590" i="51"/>
  <c r="R584" i="51"/>
  <c r="T584" i="51" s="1"/>
  <c r="O584" i="51"/>
  <c r="J584" i="51"/>
  <c r="R583" i="51"/>
  <c r="T583" i="51" s="1"/>
  <c r="O583" i="51"/>
  <c r="J583" i="51"/>
  <c r="R582" i="51"/>
  <c r="T582" i="51" s="1"/>
  <c r="J582" i="51"/>
  <c r="L582" i="51" s="1"/>
  <c r="R581" i="51"/>
  <c r="T581" i="51" s="1"/>
  <c r="O581" i="51"/>
  <c r="J581" i="51"/>
  <c r="Q580" i="51"/>
  <c r="P580" i="51"/>
  <c r="N580" i="51"/>
  <c r="K580" i="51"/>
  <c r="I580" i="51"/>
  <c r="H580" i="51"/>
  <c r="G580" i="51"/>
  <c r="R578" i="51"/>
  <c r="O578" i="51"/>
  <c r="O577" i="51" s="1"/>
  <c r="J578" i="51"/>
  <c r="J577" i="51" s="1"/>
  <c r="Q577" i="51"/>
  <c r="P577" i="51"/>
  <c r="N577" i="51"/>
  <c r="M577" i="51"/>
  <c r="L577" i="51"/>
  <c r="K577" i="51"/>
  <c r="I577" i="51"/>
  <c r="H577" i="51"/>
  <c r="R576" i="51"/>
  <c r="J576" i="51"/>
  <c r="R575" i="51"/>
  <c r="T575" i="51" s="1"/>
  <c r="V575" i="51" s="1"/>
  <c r="O575" i="51"/>
  <c r="J575" i="51"/>
  <c r="R574" i="51"/>
  <c r="T574" i="51" s="1"/>
  <c r="O574" i="51"/>
  <c r="J574" i="51"/>
  <c r="R572" i="51"/>
  <c r="O572" i="51"/>
  <c r="J572" i="51"/>
  <c r="R569" i="51"/>
  <c r="M569" i="51"/>
  <c r="O569" i="51" s="1"/>
  <c r="L569" i="51"/>
  <c r="J569" i="51"/>
  <c r="R568" i="51"/>
  <c r="T568" i="51" s="1"/>
  <c r="O568" i="51"/>
  <c r="J568" i="51"/>
  <c r="R567" i="51"/>
  <c r="M567" i="51"/>
  <c r="O567" i="51" s="1"/>
  <c r="L567" i="51"/>
  <c r="J567" i="51"/>
  <c r="Q566" i="51"/>
  <c r="P566" i="51"/>
  <c r="N566" i="51"/>
  <c r="K566" i="51"/>
  <c r="I566" i="51"/>
  <c r="H566" i="51"/>
  <c r="G566" i="51"/>
  <c r="M565" i="51"/>
  <c r="O565" i="51" s="1"/>
  <c r="J565" i="51"/>
  <c r="L565" i="51" s="1"/>
  <c r="N565" i="51" s="1"/>
  <c r="P565" i="51" s="1"/>
  <c r="R565" i="51" s="1"/>
  <c r="T565" i="51" s="1"/>
  <c r="V565" i="51" s="1"/>
  <c r="X565" i="51" s="1"/>
  <c r="Z565" i="51" s="1"/>
  <c r="M564" i="51"/>
  <c r="O564" i="51" s="1"/>
  <c r="Q564" i="51" s="1"/>
  <c r="S564" i="51" s="1"/>
  <c r="U564" i="51" s="1"/>
  <c r="W564" i="51" s="1"/>
  <c r="Y564" i="51" s="1"/>
  <c r="J564" i="51"/>
  <c r="L564" i="51" s="1"/>
  <c r="N564" i="51" s="1"/>
  <c r="P564" i="51" s="1"/>
  <c r="R564" i="51" s="1"/>
  <c r="T564" i="51" s="1"/>
  <c r="V564" i="51" s="1"/>
  <c r="X564" i="51" s="1"/>
  <c r="Z564" i="51" s="1"/>
  <c r="M563" i="51"/>
  <c r="O563" i="51" s="1"/>
  <c r="Q563" i="51" s="1"/>
  <c r="S563" i="51" s="1"/>
  <c r="U563" i="51" s="1"/>
  <c r="W563" i="51" s="1"/>
  <c r="Y563" i="51" s="1"/>
  <c r="J563" i="51"/>
  <c r="L563" i="51" s="1"/>
  <c r="N563" i="51" s="1"/>
  <c r="P563" i="51" s="1"/>
  <c r="R563" i="51" s="1"/>
  <c r="T563" i="51" s="1"/>
  <c r="V563" i="51" s="1"/>
  <c r="X563" i="51" s="1"/>
  <c r="Z563" i="51" s="1"/>
  <c r="M562" i="51"/>
  <c r="J562" i="51"/>
  <c r="L562" i="51" s="1"/>
  <c r="N562" i="51" s="1"/>
  <c r="P562" i="51" s="1"/>
  <c r="R562" i="51" s="1"/>
  <c r="T562" i="51" s="1"/>
  <c r="V562" i="51" s="1"/>
  <c r="X562" i="51" s="1"/>
  <c r="Z562" i="51" s="1"/>
  <c r="M561" i="51"/>
  <c r="O561" i="51" s="1"/>
  <c r="Q561" i="51" s="1"/>
  <c r="S561" i="51" s="1"/>
  <c r="U561" i="51" s="1"/>
  <c r="W561" i="51" s="1"/>
  <c r="Y561" i="51" s="1"/>
  <c r="J561" i="51"/>
  <c r="M560" i="51"/>
  <c r="O560" i="51" s="1"/>
  <c r="Q560" i="51" s="1"/>
  <c r="S560" i="51" s="1"/>
  <c r="U560" i="51" s="1"/>
  <c r="W560" i="51" s="1"/>
  <c r="Y560" i="51" s="1"/>
  <c r="J560" i="51"/>
  <c r="L560" i="51" s="1"/>
  <c r="N560" i="51" s="1"/>
  <c r="P560" i="51" s="1"/>
  <c r="K559" i="51"/>
  <c r="K558" i="51" s="1"/>
  <c r="I559" i="51"/>
  <c r="I558" i="51" s="1"/>
  <c r="M557" i="51"/>
  <c r="O557" i="51" s="1"/>
  <c r="J557" i="51"/>
  <c r="L557" i="51" s="1"/>
  <c r="N557" i="51" s="1"/>
  <c r="P557" i="51" s="1"/>
  <c r="M556" i="51"/>
  <c r="O556" i="51" s="1"/>
  <c r="J556" i="51"/>
  <c r="M555" i="51"/>
  <c r="O555" i="51" s="1"/>
  <c r="J555" i="51"/>
  <c r="L555" i="51" s="1"/>
  <c r="N555" i="51" s="1"/>
  <c r="P555" i="51" s="1"/>
  <c r="R555" i="51" s="1"/>
  <c r="K554" i="51"/>
  <c r="I554" i="51"/>
  <c r="M553" i="51"/>
  <c r="O553" i="51" s="1"/>
  <c r="Q553" i="51" s="1"/>
  <c r="S553" i="51" s="1"/>
  <c r="U553" i="51" s="1"/>
  <c r="W553" i="51" s="1"/>
  <c r="Y553" i="51" s="1"/>
  <c r="J553" i="51"/>
  <c r="L553" i="51" s="1"/>
  <c r="M552" i="51"/>
  <c r="J552" i="51"/>
  <c r="M551" i="51"/>
  <c r="O551" i="51" s="1"/>
  <c r="Q551" i="51" s="1"/>
  <c r="S551" i="51" s="1"/>
  <c r="U551" i="51" s="1"/>
  <c r="W551" i="51" s="1"/>
  <c r="Y551" i="51" s="1"/>
  <c r="J551" i="51"/>
  <c r="L551" i="51" s="1"/>
  <c r="N551" i="51" s="1"/>
  <c r="P551" i="51" s="1"/>
  <c r="R551" i="51" s="1"/>
  <c r="T551" i="51" s="1"/>
  <c r="V551" i="51" s="1"/>
  <c r="K550" i="51"/>
  <c r="K549" i="51" s="1"/>
  <c r="I550" i="51"/>
  <c r="I549" i="51" s="1"/>
  <c r="M548" i="51"/>
  <c r="O548" i="51" s="1"/>
  <c r="J548" i="51"/>
  <c r="M547" i="51"/>
  <c r="O547" i="51" s="1"/>
  <c r="Q547" i="51" s="1"/>
  <c r="S547" i="51" s="1"/>
  <c r="U547" i="51" s="1"/>
  <c r="W547" i="51" s="1"/>
  <c r="Y547" i="51" s="1"/>
  <c r="J547" i="51"/>
  <c r="M546" i="51"/>
  <c r="J546" i="51"/>
  <c r="M545" i="51"/>
  <c r="O545" i="51" s="1"/>
  <c r="Q545" i="51" s="1"/>
  <c r="J545" i="51"/>
  <c r="M544" i="51"/>
  <c r="O544" i="51" s="1"/>
  <c r="O543" i="51" s="1"/>
  <c r="J544" i="51"/>
  <c r="K543" i="51"/>
  <c r="I543" i="51"/>
  <c r="M542" i="51"/>
  <c r="O542" i="51" s="1"/>
  <c r="J542" i="51"/>
  <c r="M541" i="51"/>
  <c r="J541" i="51"/>
  <c r="L541" i="51" s="1"/>
  <c r="M540" i="51"/>
  <c r="O540" i="51" s="1"/>
  <c r="J540" i="51"/>
  <c r="L540" i="51" s="1"/>
  <c r="M539" i="51"/>
  <c r="O539" i="51" s="1"/>
  <c r="J539" i="51"/>
  <c r="L539" i="51" s="1"/>
  <c r="M538" i="51"/>
  <c r="J538" i="51"/>
  <c r="L538" i="51" s="1"/>
  <c r="M537" i="51"/>
  <c r="J537" i="51"/>
  <c r="L537" i="51" s="1"/>
  <c r="N537" i="51" s="1"/>
  <c r="M536" i="51"/>
  <c r="J536" i="51"/>
  <c r="L536" i="51" s="1"/>
  <c r="N536" i="51" s="1"/>
  <c r="M535" i="51"/>
  <c r="J535" i="51"/>
  <c r="M534" i="51"/>
  <c r="J534" i="51"/>
  <c r="L534" i="51" s="1"/>
  <c r="K533" i="51"/>
  <c r="K532" i="51" s="1"/>
  <c r="I533" i="51"/>
  <c r="I532" i="51" s="1"/>
  <c r="R528" i="51"/>
  <c r="T528" i="51" s="1"/>
  <c r="O528" i="51"/>
  <c r="J528" i="51"/>
  <c r="R527" i="51"/>
  <c r="O527" i="51"/>
  <c r="J527" i="51"/>
  <c r="Q526" i="51"/>
  <c r="Q520" i="51" s="1"/>
  <c r="P526" i="51"/>
  <c r="P520" i="51" s="1"/>
  <c r="N526" i="51"/>
  <c r="N520" i="51" s="1"/>
  <c r="M526" i="51"/>
  <c r="M520" i="51" s="1"/>
  <c r="L526" i="51"/>
  <c r="L520" i="51" s="1"/>
  <c r="K526" i="51"/>
  <c r="K520" i="51" s="1"/>
  <c r="I526" i="51"/>
  <c r="I520" i="51" s="1"/>
  <c r="H526" i="51"/>
  <c r="H520" i="51" s="1"/>
  <c r="M525" i="51"/>
  <c r="O525" i="51" s="1"/>
  <c r="Q525" i="51" s="1"/>
  <c r="Q524" i="51" s="1"/>
  <c r="J525" i="51"/>
  <c r="K524" i="51"/>
  <c r="I524" i="51"/>
  <c r="M523" i="51"/>
  <c r="M522" i="51" s="1"/>
  <c r="M521" i="51" s="1"/>
  <c r="J523" i="51"/>
  <c r="J522" i="51" s="1"/>
  <c r="J521" i="51" s="1"/>
  <c r="K522" i="51"/>
  <c r="K521" i="51" s="1"/>
  <c r="I522" i="51"/>
  <c r="I521" i="51" s="1"/>
  <c r="G520" i="51"/>
  <c r="R517" i="51"/>
  <c r="O517" i="51"/>
  <c r="J517" i="51"/>
  <c r="R516" i="51"/>
  <c r="T516" i="51" s="1"/>
  <c r="O516" i="51"/>
  <c r="R515" i="51"/>
  <c r="T515" i="51" s="1"/>
  <c r="O515" i="51"/>
  <c r="J515" i="51"/>
  <c r="R514" i="51"/>
  <c r="O514" i="51"/>
  <c r="J514" i="51"/>
  <c r="R513" i="51"/>
  <c r="O513" i="51"/>
  <c r="J513" i="51"/>
  <c r="Q512" i="51"/>
  <c r="Q505" i="51" s="1"/>
  <c r="P512" i="51"/>
  <c r="P505" i="51" s="1"/>
  <c r="N512" i="51"/>
  <c r="N505" i="51" s="1"/>
  <c r="M512" i="51"/>
  <c r="M505" i="51" s="1"/>
  <c r="L512" i="51"/>
  <c r="L505" i="51" s="1"/>
  <c r="K512" i="51"/>
  <c r="K505" i="51" s="1"/>
  <c r="I512" i="51"/>
  <c r="I505" i="51" s="1"/>
  <c r="H512" i="51"/>
  <c r="H505" i="51" s="1"/>
  <c r="G512" i="51"/>
  <c r="G505" i="51" s="1"/>
  <c r="M511" i="51"/>
  <c r="J511" i="51"/>
  <c r="L511" i="51" s="1"/>
  <c r="M510" i="51"/>
  <c r="O510" i="51" s="1"/>
  <c r="Q510" i="51" s="1"/>
  <c r="S510" i="51" s="1"/>
  <c r="U510" i="51" s="1"/>
  <c r="W510" i="51" s="1"/>
  <c r="Y510" i="51" s="1"/>
  <c r="J510" i="51"/>
  <c r="L510" i="51" s="1"/>
  <c r="N510" i="51" s="1"/>
  <c r="P510" i="51" s="1"/>
  <c r="R510" i="51" s="1"/>
  <c r="T510" i="51" s="1"/>
  <c r="V510" i="51" s="1"/>
  <c r="X510" i="51" s="1"/>
  <c r="Z510" i="51" s="1"/>
  <c r="M509" i="51"/>
  <c r="O509" i="51" s="1"/>
  <c r="Q509" i="51" s="1"/>
  <c r="S509" i="51" s="1"/>
  <c r="U509" i="51" s="1"/>
  <c r="W509" i="51" s="1"/>
  <c r="Y509" i="51" s="1"/>
  <c r="J509" i="51"/>
  <c r="M508" i="51"/>
  <c r="O508" i="51" s="1"/>
  <c r="Q508" i="51" s="1"/>
  <c r="S508" i="51" s="1"/>
  <c r="U508" i="51" s="1"/>
  <c r="W508" i="51" s="1"/>
  <c r="Y508" i="51" s="1"/>
  <c r="J508" i="51"/>
  <c r="L508" i="51" s="1"/>
  <c r="N508" i="51" s="1"/>
  <c r="P508" i="51" s="1"/>
  <c r="R508" i="51" s="1"/>
  <c r="T508" i="51" s="1"/>
  <c r="V508" i="51" s="1"/>
  <c r="X508" i="51" s="1"/>
  <c r="Z508" i="51" s="1"/>
  <c r="M507" i="51"/>
  <c r="J507" i="51"/>
  <c r="L507" i="51" s="1"/>
  <c r="N507" i="51" s="1"/>
  <c r="K506" i="51"/>
  <c r="I506" i="51"/>
  <c r="R504" i="51"/>
  <c r="R503" i="51"/>
  <c r="S503" i="51" s="1"/>
  <c r="T503" i="51" s="1"/>
  <c r="U503" i="51" s="1"/>
  <c r="J503" i="51"/>
  <c r="R502" i="51"/>
  <c r="T502" i="51" s="1"/>
  <c r="V502" i="51" s="1"/>
  <c r="O502" i="51"/>
  <c r="J502" i="51"/>
  <c r="R501" i="51"/>
  <c r="T501" i="51" s="1"/>
  <c r="O501" i="51"/>
  <c r="J501" i="51"/>
  <c r="R500" i="51"/>
  <c r="T500" i="51" s="1"/>
  <c r="O500" i="51"/>
  <c r="J500" i="51"/>
  <c r="R499" i="51"/>
  <c r="T499" i="51" s="1"/>
  <c r="O499" i="51"/>
  <c r="J499" i="51"/>
  <c r="R498" i="51"/>
  <c r="O498" i="51"/>
  <c r="J498" i="51"/>
  <c r="R497" i="51"/>
  <c r="T497" i="51" s="1"/>
  <c r="O497" i="51"/>
  <c r="J497" i="51"/>
  <c r="R496" i="51"/>
  <c r="T496" i="51" s="1"/>
  <c r="O496" i="51"/>
  <c r="J496" i="51"/>
  <c r="Q495" i="51"/>
  <c r="P495" i="51"/>
  <c r="N495" i="51"/>
  <c r="M495" i="51"/>
  <c r="L495" i="51"/>
  <c r="K495" i="51"/>
  <c r="I495" i="51"/>
  <c r="H495" i="51"/>
  <c r="G495" i="51"/>
  <c r="G491" i="51" s="1"/>
  <c r="R494" i="51"/>
  <c r="O494" i="51"/>
  <c r="J494" i="51"/>
  <c r="R493" i="51"/>
  <c r="O493" i="51"/>
  <c r="J493" i="51"/>
  <c r="Q492" i="51"/>
  <c r="Q491" i="51" s="1"/>
  <c r="P492" i="51"/>
  <c r="P491" i="51" s="1"/>
  <c r="N492" i="51"/>
  <c r="N491" i="51" s="1"/>
  <c r="M492" i="51"/>
  <c r="M491" i="51" s="1"/>
  <c r="L492" i="51"/>
  <c r="L491" i="51" s="1"/>
  <c r="K492" i="51"/>
  <c r="K491" i="51" s="1"/>
  <c r="I492" i="51"/>
  <c r="I491" i="51" s="1"/>
  <c r="H492" i="51"/>
  <c r="H491" i="51" s="1"/>
  <c r="M490" i="51"/>
  <c r="O490" i="51" s="1"/>
  <c r="Q490" i="51" s="1"/>
  <c r="S490" i="51" s="1"/>
  <c r="U490" i="51" s="1"/>
  <c r="W490" i="51" s="1"/>
  <c r="Y490" i="51" s="1"/>
  <c r="J490" i="51"/>
  <c r="L490" i="51" s="1"/>
  <c r="N490" i="51" s="1"/>
  <c r="P490" i="51" s="1"/>
  <c r="R490" i="51" s="1"/>
  <c r="T490" i="51" s="1"/>
  <c r="V490" i="51" s="1"/>
  <c r="X490" i="51" s="1"/>
  <c r="Z490" i="51" s="1"/>
  <c r="M489" i="51"/>
  <c r="J489" i="51"/>
  <c r="L489" i="51" s="1"/>
  <c r="N489" i="51" s="1"/>
  <c r="P489" i="51" s="1"/>
  <c r="R489" i="51" s="1"/>
  <c r="T489" i="51" s="1"/>
  <c r="V489" i="51" s="1"/>
  <c r="X489" i="51" s="1"/>
  <c r="Z489" i="51" s="1"/>
  <c r="M488" i="51"/>
  <c r="O488" i="51" s="1"/>
  <c r="J488" i="51"/>
  <c r="L488" i="51" s="1"/>
  <c r="N488" i="51" s="1"/>
  <c r="P488" i="51" s="1"/>
  <c r="R488" i="51" s="1"/>
  <c r="T488" i="51" s="1"/>
  <c r="V488" i="51" s="1"/>
  <c r="X488" i="51" s="1"/>
  <c r="Z488" i="51" s="1"/>
  <c r="M487" i="51"/>
  <c r="O487" i="51" s="1"/>
  <c r="Q487" i="51" s="1"/>
  <c r="S487" i="51" s="1"/>
  <c r="U487" i="51" s="1"/>
  <c r="W487" i="51" s="1"/>
  <c r="Y487" i="51" s="1"/>
  <c r="J487" i="51"/>
  <c r="L487" i="51" s="1"/>
  <c r="N487" i="51" s="1"/>
  <c r="P487" i="51" s="1"/>
  <c r="R487" i="51" s="1"/>
  <c r="T487" i="51" s="1"/>
  <c r="V487" i="51" s="1"/>
  <c r="X487" i="51" s="1"/>
  <c r="Z487" i="51" s="1"/>
  <c r="M486" i="51"/>
  <c r="O486" i="51" s="1"/>
  <c r="Q486" i="51" s="1"/>
  <c r="S486" i="51" s="1"/>
  <c r="U486" i="51" s="1"/>
  <c r="W486" i="51" s="1"/>
  <c r="Y486" i="51" s="1"/>
  <c r="J486" i="51"/>
  <c r="L486" i="51" s="1"/>
  <c r="K485" i="51"/>
  <c r="I485" i="51"/>
  <c r="M484" i="51"/>
  <c r="O484" i="51" s="1"/>
  <c r="Q484" i="51" s="1"/>
  <c r="Q483" i="51" s="1"/>
  <c r="J484" i="51"/>
  <c r="K483" i="51"/>
  <c r="I483" i="51"/>
  <c r="G482" i="51"/>
  <c r="M481" i="51"/>
  <c r="J481" i="51"/>
  <c r="K480" i="51"/>
  <c r="I480" i="51"/>
  <c r="I479" i="51"/>
  <c r="M478" i="51"/>
  <c r="J478" i="51"/>
  <c r="L478" i="51" s="1"/>
  <c r="I477" i="51"/>
  <c r="I476" i="51"/>
  <c r="M475" i="51"/>
  <c r="J475" i="51"/>
  <c r="L475" i="51" s="1"/>
  <c r="N475" i="51" s="1"/>
  <c r="P475" i="51" s="1"/>
  <c r="I474" i="51"/>
  <c r="M473" i="51"/>
  <c r="O473" i="51" s="1"/>
  <c r="J473" i="51"/>
  <c r="L473" i="51" s="1"/>
  <c r="M472" i="51"/>
  <c r="J472" i="51"/>
  <c r="M471" i="51"/>
  <c r="J471" i="51"/>
  <c r="K470" i="51"/>
  <c r="K469" i="51" s="1"/>
  <c r="I470" i="51"/>
  <c r="I469" i="51" s="1"/>
  <c r="R463" i="51"/>
  <c r="R462" i="51" s="1"/>
  <c r="O463" i="51"/>
  <c r="O462" i="51" s="1"/>
  <c r="I463" i="51"/>
  <c r="Q462" i="51"/>
  <c r="P462" i="51"/>
  <c r="N462" i="51"/>
  <c r="M462" i="51"/>
  <c r="L462" i="51"/>
  <c r="K462" i="51"/>
  <c r="H462" i="51"/>
  <c r="R460" i="51"/>
  <c r="R459" i="51" s="1"/>
  <c r="O460" i="51"/>
  <c r="O459" i="51" s="1"/>
  <c r="J460" i="51"/>
  <c r="Q459" i="51"/>
  <c r="P459" i="51"/>
  <c r="N459" i="51"/>
  <c r="M459" i="51"/>
  <c r="L459" i="51"/>
  <c r="K459" i="51"/>
  <c r="I459" i="51"/>
  <c r="H459" i="51"/>
  <c r="R458" i="51"/>
  <c r="T458" i="51" s="1"/>
  <c r="O458" i="51"/>
  <c r="J458" i="51"/>
  <c r="R457" i="51"/>
  <c r="O457" i="51"/>
  <c r="O456" i="51" s="1"/>
  <c r="J457" i="51"/>
  <c r="J456" i="51" s="1"/>
  <c r="Q456" i="51"/>
  <c r="P456" i="51"/>
  <c r="N456" i="51"/>
  <c r="M456" i="51"/>
  <c r="L456" i="51"/>
  <c r="K456" i="51"/>
  <c r="I456" i="51"/>
  <c r="H456" i="51"/>
  <c r="M455" i="51"/>
  <c r="J455" i="51"/>
  <c r="L455" i="51" s="1"/>
  <c r="N455" i="51" s="1"/>
  <c r="K454" i="51"/>
  <c r="K453" i="51" s="1"/>
  <c r="I454" i="51"/>
  <c r="I453" i="51" s="1"/>
  <c r="M452" i="51"/>
  <c r="J452" i="51"/>
  <c r="L452" i="51" s="1"/>
  <c r="K451" i="51"/>
  <c r="I451" i="51"/>
  <c r="G450" i="51"/>
  <c r="G445" i="51" s="1"/>
  <c r="R448" i="51"/>
  <c r="S448" i="51" s="1"/>
  <c r="O448" i="51"/>
  <c r="J448" i="51"/>
  <c r="R447" i="51"/>
  <c r="O447" i="51"/>
  <c r="J447" i="51"/>
  <c r="Q446" i="51"/>
  <c r="P446" i="51"/>
  <c r="N446" i="51"/>
  <c r="M446" i="51"/>
  <c r="L446" i="51"/>
  <c r="K446" i="51"/>
  <c r="I446" i="51"/>
  <c r="H446" i="51"/>
  <c r="I441" i="51"/>
  <c r="Q440" i="51"/>
  <c r="Q439" i="51" s="1"/>
  <c r="P440" i="51"/>
  <c r="P439" i="51" s="1"/>
  <c r="O440" i="51"/>
  <c r="O439" i="51" s="1"/>
  <c r="N440" i="51"/>
  <c r="N439" i="51" s="1"/>
  <c r="M440" i="51"/>
  <c r="M439" i="51" s="1"/>
  <c r="L440" i="51"/>
  <c r="L439" i="51" s="1"/>
  <c r="K440" i="51"/>
  <c r="K439" i="51" s="1"/>
  <c r="H440" i="51"/>
  <c r="H439" i="51" s="1"/>
  <c r="R438" i="51"/>
  <c r="S438" i="51" s="1"/>
  <c r="J438" i="51"/>
  <c r="J437" i="51" s="1"/>
  <c r="J436" i="51" s="1"/>
  <c r="J435" i="51" s="1"/>
  <c r="Q437" i="51"/>
  <c r="Q436" i="51" s="1"/>
  <c r="Q435" i="51" s="1"/>
  <c r="P437" i="51"/>
  <c r="O437" i="51"/>
  <c r="O436" i="51" s="1"/>
  <c r="O435" i="51" s="1"/>
  <c r="N437" i="51"/>
  <c r="N436" i="51" s="1"/>
  <c r="N435" i="51" s="1"/>
  <c r="M437" i="51"/>
  <c r="M436" i="51" s="1"/>
  <c r="M435" i="51" s="1"/>
  <c r="L437" i="51"/>
  <c r="L436" i="51" s="1"/>
  <c r="L435" i="51" s="1"/>
  <c r="K437" i="51"/>
  <c r="K436" i="51" s="1"/>
  <c r="K435" i="51" s="1"/>
  <c r="I437" i="51"/>
  <c r="I436" i="51" s="1"/>
  <c r="I435" i="51" s="1"/>
  <c r="H437" i="51"/>
  <c r="H436" i="51" s="1"/>
  <c r="H435" i="51" s="1"/>
  <c r="R434" i="51"/>
  <c r="R433" i="51" s="1"/>
  <c r="R432" i="51" s="1"/>
  <c r="R431" i="51" s="1"/>
  <c r="O434" i="51"/>
  <c r="O433" i="51" s="1"/>
  <c r="O432" i="51" s="1"/>
  <c r="O431" i="51" s="1"/>
  <c r="J434" i="51"/>
  <c r="Q433" i="51"/>
  <c r="Q432" i="51" s="1"/>
  <c r="Q431" i="51" s="1"/>
  <c r="P433" i="51"/>
  <c r="P432" i="51" s="1"/>
  <c r="P431" i="51" s="1"/>
  <c r="N433" i="51"/>
  <c r="N432" i="51" s="1"/>
  <c r="N431" i="51" s="1"/>
  <c r="M433" i="51"/>
  <c r="M432" i="51" s="1"/>
  <c r="M431" i="51" s="1"/>
  <c r="L433" i="51"/>
  <c r="L432" i="51" s="1"/>
  <c r="L431" i="51" s="1"/>
  <c r="K433" i="51"/>
  <c r="K432" i="51" s="1"/>
  <c r="K431" i="51" s="1"/>
  <c r="I433" i="51"/>
  <c r="I432" i="51" s="1"/>
  <c r="I431" i="51" s="1"/>
  <c r="H433" i="51"/>
  <c r="H432" i="51" s="1"/>
  <c r="H431" i="51" s="1"/>
  <c r="G432" i="51"/>
  <c r="J430" i="51"/>
  <c r="J429" i="51" s="1"/>
  <c r="R429" i="51"/>
  <c r="R428" i="51" s="1"/>
  <c r="Q429" i="51"/>
  <c r="P429" i="51"/>
  <c r="O429" i="51"/>
  <c r="N429" i="51"/>
  <c r="M429" i="51"/>
  <c r="L429" i="51"/>
  <c r="K429" i="51"/>
  <c r="K428" i="51" s="1"/>
  <c r="I429" i="51"/>
  <c r="I428" i="51" s="1"/>
  <c r="H429" i="51"/>
  <c r="H428" i="51" s="1"/>
  <c r="R420" i="51"/>
  <c r="O420" i="51"/>
  <c r="J420" i="51"/>
  <c r="R419" i="51"/>
  <c r="O419" i="51"/>
  <c r="J419" i="51"/>
  <c r="P418" i="51"/>
  <c r="N418" i="51"/>
  <c r="M418" i="51"/>
  <c r="L418" i="51"/>
  <c r="K418" i="51"/>
  <c r="I418" i="51"/>
  <c r="H418" i="51"/>
  <c r="R417" i="51"/>
  <c r="O417" i="51"/>
  <c r="J417" i="51"/>
  <c r="R416" i="51"/>
  <c r="O416" i="51"/>
  <c r="J416" i="51"/>
  <c r="J415" i="51" s="1"/>
  <c r="Q415" i="51"/>
  <c r="Q414" i="51" s="1"/>
  <c r="P415" i="51"/>
  <c r="N415" i="51"/>
  <c r="M415" i="51"/>
  <c r="L415" i="51"/>
  <c r="K415" i="51"/>
  <c r="I415" i="51"/>
  <c r="H415" i="51"/>
  <c r="G414" i="51"/>
  <c r="R412" i="51"/>
  <c r="O412" i="51"/>
  <c r="J412" i="51"/>
  <c r="R409" i="51"/>
  <c r="O409" i="51"/>
  <c r="J409" i="51"/>
  <c r="R408" i="51"/>
  <c r="O408" i="51"/>
  <c r="J408" i="51"/>
  <c r="Q407" i="51"/>
  <c r="Q406" i="51" s="1"/>
  <c r="P407" i="51"/>
  <c r="P406" i="51" s="1"/>
  <c r="N407" i="51"/>
  <c r="N406" i="51" s="1"/>
  <c r="M407" i="51"/>
  <c r="M406" i="51" s="1"/>
  <c r="L407" i="51"/>
  <c r="L406" i="51" s="1"/>
  <c r="K407" i="51"/>
  <c r="K406" i="51" s="1"/>
  <c r="I407" i="51"/>
  <c r="I406" i="51" s="1"/>
  <c r="H407" i="51"/>
  <c r="H406" i="51" s="1"/>
  <c r="G407" i="51"/>
  <c r="R405" i="51"/>
  <c r="T405" i="51" s="1"/>
  <c r="V405" i="51" s="1"/>
  <c r="X405" i="51" s="1"/>
  <c r="Z405" i="51" s="1"/>
  <c r="O405" i="51"/>
  <c r="R404" i="51"/>
  <c r="T404" i="51" s="1"/>
  <c r="O404" i="51"/>
  <c r="J404" i="51"/>
  <c r="R403" i="51"/>
  <c r="T403" i="51" s="1"/>
  <c r="O403" i="51"/>
  <c r="J403" i="51"/>
  <c r="R401" i="51"/>
  <c r="T401" i="51" s="1"/>
  <c r="O401" i="51"/>
  <c r="J401" i="51"/>
  <c r="R400" i="51"/>
  <c r="O400" i="51"/>
  <c r="J400" i="51"/>
  <c r="R396" i="51"/>
  <c r="O396" i="51"/>
  <c r="J396" i="51"/>
  <c r="R395" i="51"/>
  <c r="O395" i="51"/>
  <c r="J395" i="51"/>
  <c r="Q394" i="51"/>
  <c r="P394" i="51"/>
  <c r="N394" i="51"/>
  <c r="M394" i="51"/>
  <c r="L394" i="51"/>
  <c r="K394" i="51"/>
  <c r="K365" i="51" s="1"/>
  <c r="I394" i="51"/>
  <c r="I365" i="51" s="1"/>
  <c r="H394" i="51"/>
  <c r="H365" i="51" s="1"/>
  <c r="G394" i="51"/>
  <c r="G365" i="51" s="1"/>
  <c r="M393" i="51"/>
  <c r="O393" i="51" s="1"/>
  <c r="Q393" i="51" s="1"/>
  <c r="S393" i="51" s="1"/>
  <c r="U393" i="51" s="1"/>
  <c r="W393" i="51" s="1"/>
  <c r="Y393" i="51" s="1"/>
  <c r="J393" i="51"/>
  <c r="L393" i="51" s="1"/>
  <c r="N393" i="51" s="1"/>
  <c r="P393" i="51" s="1"/>
  <c r="R393" i="51" s="1"/>
  <c r="T393" i="51" s="1"/>
  <c r="V393" i="51" s="1"/>
  <c r="X393" i="51" s="1"/>
  <c r="Z393" i="51" s="1"/>
  <c r="M392" i="51"/>
  <c r="O392" i="51" s="1"/>
  <c r="Q392" i="51" s="1"/>
  <c r="S392" i="51" s="1"/>
  <c r="U392" i="51" s="1"/>
  <c r="W392" i="51" s="1"/>
  <c r="Y392" i="51" s="1"/>
  <c r="J392" i="51"/>
  <c r="L392" i="51" s="1"/>
  <c r="N392" i="51" s="1"/>
  <c r="P392" i="51" s="1"/>
  <c r="R392" i="51" s="1"/>
  <c r="T392" i="51" s="1"/>
  <c r="V392" i="51" s="1"/>
  <c r="X392" i="51" s="1"/>
  <c r="Z392" i="51" s="1"/>
  <c r="M391" i="51"/>
  <c r="O391" i="51" s="1"/>
  <c r="Q391" i="51" s="1"/>
  <c r="S391" i="51" s="1"/>
  <c r="U391" i="51" s="1"/>
  <c r="W391" i="51" s="1"/>
  <c r="Y391" i="51" s="1"/>
  <c r="J391" i="51"/>
  <c r="L391" i="51" s="1"/>
  <c r="N391" i="51" s="1"/>
  <c r="P391" i="51" s="1"/>
  <c r="R391" i="51" s="1"/>
  <c r="T391" i="51" s="1"/>
  <c r="V391" i="51" s="1"/>
  <c r="X391" i="51" s="1"/>
  <c r="Z391" i="51" s="1"/>
  <c r="M390" i="51"/>
  <c r="O390" i="51" s="1"/>
  <c r="Q390" i="51" s="1"/>
  <c r="S390" i="51" s="1"/>
  <c r="U390" i="51" s="1"/>
  <c r="W390" i="51" s="1"/>
  <c r="Y390" i="51" s="1"/>
  <c r="J390" i="51"/>
  <c r="L390" i="51" s="1"/>
  <c r="M389" i="51"/>
  <c r="O389" i="51" s="1"/>
  <c r="Q389" i="51" s="1"/>
  <c r="S389" i="51" s="1"/>
  <c r="U389" i="51" s="1"/>
  <c r="W389" i="51" s="1"/>
  <c r="Y389" i="51" s="1"/>
  <c r="J389" i="51"/>
  <c r="L389" i="51" s="1"/>
  <c r="N389" i="51" s="1"/>
  <c r="P389" i="51" s="1"/>
  <c r="R389" i="51" s="1"/>
  <c r="T389" i="51" s="1"/>
  <c r="V389" i="51" s="1"/>
  <c r="X389" i="51" s="1"/>
  <c r="Z389" i="51" s="1"/>
  <c r="M388" i="51"/>
  <c r="O388" i="51" s="1"/>
  <c r="J388" i="51"/>
  <c r="K387" i="51"/>
  <c r="K386" i="51" s="1"/>
  <c r="K385" i="51" s="1"/>
  <c r="I387" i="51"/>
  <c r="I386" i="51" s="1"/>
  <c r="I385" i="51" s="1"/>
  <c r="M384" i="51"/>
  <c r="J384" i="51"/>
  <c r="I383" i="51"/>
  <c r="K383" i="51" s="1"/>
  <c r="I382" i="51"/>
  <c r="I381" i="51"/>
  <c r="J381" i="51" s="1"/>
  <c r="L381" i="51" s="1"/>
  <c r="N381" i="51" s="1"/>
  <c r="P381" i="51" s="1"/>
  <c r="I380" i="51"/>
  <c r="I379" i="51"/>
  <c r="J379" i="51" s="1"/>
  <c r="L379" i="51" s="1"/>
  <c r="N379" i="51" s="1"/>
  <c r="P379" i="51" s="1"/>
  <c r="I378" i="51"/>
  <c r="I377" i="51"/>
  <c r="J377" i="51" s="1"/>
  <c r="L377" i="51" s="1"/>
  <c r="N377" i="51" s="1"/>
  <c r="I376" i="51"/>
  <c r="I375" i="51"/>
  <c r="J375" i="51" s="1"/>
  <c r="L375" i="51" s="1"/>
  <c r="N375" i="51" s="1"/>
  <c r="P375" i="51" s="1"/>
  <c r="I374" i="51"/>
  <c r="J374" i="51" s="1"/>
  <c r="L374" i="51" s="1"/>
  <c r="M373" i="51"/>
  <c r="O373" i="51" s="1"/>
  <c r="Q373" i="51" s="1"/>
  <c r="J373" i="51"/>
  <c r="L373" i="51" s="1"/>
  <c r="M372" i="51"/>
  <c r="O372" i="51" s="1"/>
  <c r="J372" i="51"/>
  <c r="L372" i="51" s="1"/>
  <c r="I371" i="51"/>
  <c r="I370" i="51"/>
  <c r="M369" i="51"/>
  <c r="O369" i="51" s="1"/>
  <c r="J369" i="51"/>
  <c r="L369" i="51" s="1"/>
  <c r="M368" i="51"/>
  <c r="J368" i="51"/>
  <c r="L368" i="51" s="1"/>
  <c r="N368" i="51" s="1"/>
  <c r="K367" i="51"/>
  <c r="K366" i="51" s="1"/>
  <c r="I367" i="51"/>
  <c r="I366" i="51" s="1"/>
  <c r="Q365" i="51"/>
  <c r="P365" i="51"/>
  <c r="N365" i="51"/>
  <c r="M365" i="51"/>
  <c r="L365" i="51"/>
  <c r="R360" i="51"/>
  <c r="T360" i="51" s="1"/>
  <c r="O360" i="51"/>
  <c r="J360" i="51"/>
  <c r="R359" i="51"/>
  <c r="O359" i="51"/>
  <c r="J359" i="51"/>
  <c r="Q358" i="51"/>
  <c r="P358" i="51"/>
  <c r="N358" i="51"/>
  <c r="M358" i="51"/>
  <c r="L358" i="51"/>
  <c r="K358" i="51"/>
  <c r="I358" i="51"/>
  <c r="H358" i="51"/>
  <c r="R357" i="51"/>
  <c r="T357" i="51" s="1"/>
  <c r="O357" i="51"/>
  <c r="J357" i="51"/>
  <c r="R356" i="51"/>
  <c r="T356" i="51" s="1"/>
  <c r="O356" i="51"/>
  <c r="J356" i="51"/>
  <c r="R355" i="51"/>
  <c r="T355" i="51" s="1"/>
  <c r="O355" i="51"/>
  <c r="J355" i="51"/>
  <c r="R352" i="51"/>
  <c r="O352" i="51"/>
  <c r="J352" i="51"/>
  <c r="R351" i="51"/>
  <c r="O351" i="51"/>
  <c r="J351" i="51"/>
  <c r="Q350" i="51"/>
  <c r="P350" i="51"/>
  <c r="P336" i="51" s="1"/>
  <c r="N350" i="51"/>
  <c r="N336" i="51" s="1"/>
  <c r="M350" i="51"/>
  <c r="M336" i="51" s="1"/>
  <c r="L350" i="51"/>
  <c r="L336" i="51" s="1"/>
  <c r="K350" i="51"/>
  <c r="K336" i="51" s="1"/>
  <c r="I350" i="51"/>
  <c r="I336" i="51" s="1"/>
  <c r="H350" i="51"/>
  <c r="H336" i="51" s="1"/>
  <c r="G350" i="51"/>
  <c r="G336" i="51" s="1"/>
  <c r="M349" i="51"/>
  <c r="J349" i="51"/>
  <c r="L349" i="51" s="1"/>
  <c r="N349" i="51" s="1"/>
  <c r="P349" i="51" s="1"/>
  <c r="M348" i="51"/>
  <c r="O348" i="51" s="1"/>
  <c r="Q348" i="51" s="1"/>
  <c r="S348" i="51" s="1"/>
  <c r="U348" i="51" s="1"/>
  <c r="W348" i="51" s="1"/>
  <c r="Y348" i="51" s="1"/>
  <c r="J348" i="51"/>
  <c r="L348" i="51" s="1"/>
  <c r="N348" i="51" s="1"/>
  <c r="P348" i="51" s="1"/>
  <c r="R348" i="51" s="1"/>
  <c r="T348" i="51" s="1"/>
  <c r="V348" i="51" s="1"/>
  <c r="X348" i="51" s="1"/>
  <c r="Z348" i="51" s="1"/>
  <c r="M347" i="51"/>
  <c r="O347" i="51" s="1"/>
  <c r="Q347" i="51" s="1"/>
  <c r="S347" i="51" s="1"/>
  <c r="U347" i="51" s="1"/>
  <c r="W347" i="51" s="1"/>
  <c r="Y347" i="51" s="1"/>
  <c r="J347" i="51"/>
  <c r="L347" i="51" s="1"/>
  <c r="N347" i="51" s="1"/>
  <c r="P347" i="51" s="1"/>
  <c r="R347" i="51" s="1"/>
  <c r="T347" i="51" s="1"/>
  <c r="V347" i="51" s="1"/>
  <c r="X347" i="51" s="1"/>
  <c r="M346" i="51"/>
  <c r="O346" i="51" s="1"/>
  <c r="Q346" i="51" s="1"/>
  <c r="S346" i="51" s="1"/>
  <c r="J346" i="51"/>
  <c r="K345" i="51"/>
  <c r="K344" i="51" s="1"/>
  <c r="K343" i="51" s="1"/>
  <c r="I345" i="51"/>
  <c r="I344" i="51" s="1"/>
  <c r="I343" i="51" s="1"/>
  <c r="M342" i="51"/>
  <c r="O342" i="51" s="1"/>
  <c r="J342" i="51"/>
  <c r="L342" i="51" s="1"/>
  <c r="M341" i="51"/>
  <c r="O341" i="51" s="1"/>
  <c r="J341" i="51"/>
  <c r="L341" i="51" s="1"/>
  <c r="N341" i="51" s="1"/>
  <c r="M340" i="51"/>
  <c r="J340" i="51"/>
  <c r="M339" i="51"/>
  <c r="O339" i="51" s="1"/>
  <c r="Q339" i="51" s="1"/>
  <c r="J339" i="51"/>
  <c r="L339" i="51" s="1"/>
  <c r="K338" i="51"/>
  <c r="K337" i="51" s="1"/>
  <c r="I338" i="51"/>
  <c r="I337" i="51" s="1"/>
  <c r="K318" i="51"/>
  <c r="K317" i="51" s="1"/>
  <c r="I318" i="51"/>
  <c r="I317" i="51" s="1"/>
  <c r="G318" i="51"/>
  <c r="R315" i="51"/>
  <c r="O315" i="51"/>
  <c r="O314" i="51" s="1"/>
  <c r="O313" i="51" s="1"/>
  <c r="O312" i="51" s="1"/>
  <c r="J315" i="51"/>
  <c r="Q314" i="51"/>
  <c r="Q313" i="51" s="1"/>
  <c r="Q312" i="51" s="1"/>
  <c r="P314" i="51"/>
  <c r="P313" i="51" s="1"/>
  <c r="P312" i="51" s="1"/>
  <c r="N314" i="51"/>
  <c r="N313" i="51" s="1"/>
  <c r="N312" i="51" s="1"/>
  <c r="M314" i="51"/>
  <c r="M313" i="51" s="1"/>
  <c r="M312" i="51" s="1"/>
  <c r="L314" i="51"/>
  <c r="L313" i="51" s="1"/>
  <c r="L312" i="51" s="1"/>
  <c r="K314" i="51"/>
  <c r="K313" i="51" s="1"/>
  <c r="K312" i="51" s="1"/>
  <c r="I314" i="51"/>
  <c r="I313" i="51" s="1"/>
  <c r="I312" i="51" s="1"/>
  <c r="H314" i="51"/>
  <c r="H313" i="51" s="1"/>
  <c r="H312" i="51" s="1"/>
  <c r="G305" i="51"/>
  <c r="R303" i="51"/>
  <c r="T303" i="51" s="1"/>
  <c r="O303" i="51"/>
  <c r="J303" i="51"/>
  <c r="R301" i="51"/>
  <c r="O301" i="51"/>
  <c r="J301" i="51"/>
  <c r="J300" i="51"/>
  <c r="L300" i="51" s="1"/>
  <c r="N300" i="51" s="1"/>
  <c r="Q299" i="51"/>
  <c r="P299" i="51"/>
  <c r="N299" i="51"/>
  <c r="M299" i="51"/>
  <c r="L299" i="51"/>
  <c r="K299" i="51"/>
  <c r="I299" i="51"/>
  <c r="H299" i="51"/>
  <c r="G299" i="51"/>
  <c r="R298" i="51"/>
  <c r="S298" i="51" s="1"/>
  <c r="R297" i="51"/>
  <c r="T297" i="51" s="1"/>
  <c r="O297" i="51"/>
  <c r="J297" i="51"/>
  <c r="J296" i="51"/>
  <c r="M296" i="51" s="1"/>
  <c r="R294" i="51"/>
  <c r="T294" i="51" s="1"/>
  <c r="O294" i="51"/>
  <c r="J294" i="51"/>
  <c r="R293" i="51"/>
  <c r="T293" i="51" s="1"/>
  <c r="O293" i="51"/>
  <c r="J293" i="51"/>
  <c r="R287" i="51"/>
  <c r="O287" i="51"/>
  <c r="J287" i="51"/>
  <c r="R286" i="51"/>
  <c r="O286" i="51"/>
  <c r="J286" i="51"/>
  <c r="R284" i="51"/>
  <c r="T284" i="51" s="1"/>
  <c r="O284" i="51"/>
  <c r="J284" i="51"/>
  <c r="R282" i="51"/>
  <c r="O282" i="51"/>
  <c r="J282" i="51"/>
  <c r="Q281" i="51"/>
  <c r="Q280" i="51" s="1"/>
  <c r="Q255" i="51" s="1"/>
  <c r="P281" i="51"/>
  <c r="N281" i="51"/>
  <c r="N280" i="51" s="1"/>
  <c r="M281" i="51"/>
  <c r="L281" i="51"/>
  <c r="K281" i="51"/>
  <c r="K280" i="51" s="1"/>
  <c r="I281" i="51"/>
  <c r="I280" i="51" s="1"/>
  <c r="I255" i="51" s="1"/>
  <c r="H281" i="51"/>
  <c r="H280" i="51" s="1"/>
  <c r="H255" i="51" s="1"/>
  <c r="G280" i="51"/>
  <c r="M279" i="51"/>
  <c r="O279" i="51" s="1"/>
  <c r="J279" i="51"/>
  <c r="L279" i="51" s="1"/>
  <c r="N279" i="51" s="1"/>
  <c r="P279" i="51" s="1"/>
  <c r="M278" i="51"/>
  <c r="O278" i="51" s="1"/>
  <c r="Q278" i="51" s="1"/>
  <c r="J278" i="51"/>
  <c r="L278" i="51" s="1"/>
  <c r="M277" i="51"/>
  <c r="J277" i="51"/>
  <c r="L277" i="51" s="1"/>
  <c r="N277" i="51" s="1"/>
  <c r="M276" i="51"/>
  <c r="O276" i="51" s="1"/>
  <c r="Q276" i="51" s="1"/>
  <c r="J276" i="51"/>
  <c r="L276" i="51" s="1"/>
  <c r="M275" i="51"/>
  <c r="O275" i="51" s="1"/>
  <c r="Q275" i="51" s="1"/>
  <c r="J275" i="51"/>
  <c r="L275" i="51" s="1"/>
  <c r="M274" i="51"/>
  <c r="O274" i="51" s="1"/>
  <c r="Q274" i="51" s="1"/>
  <c r="J274" i="51"/>
  <c r="L274" i="51" s="1"/>
  <c r="K273" i="51"/>
  <c r="K272" i="51" s="1"/>
  <c r="I273" i="51"/>
  <c r="I272" i="51" s="1"/>
  <c r="M271" i="51"/>
  <c r="O271" i="51" s="1"/>
  <c r="Q271" i="51" s="1"/>
  <c r="S271" i="51" s="1"/>
  <c r="U271" i="51" s="1"/>
  <c r="W271" i="51" s="1"/>
  <c r="Y271" i="51" s="1"/>
  <c r="J271" i="51"/>
  <c r="L271" i="51" s="1"/>
  <c r="N271" i="51" s="1"/>
  <c r="P271" i="51" s="1"/>
  <c r="R271" i="51" s="1"/>
  <c r="T271" i="51" s="1"/>
  <c r="V271" i="51" s="1"/>
  <c r="X271" i="51" s="1"/>
  <c r="Z271" i="51" s="1"/>
  <c r="M270" i="51"/>
  <c r="O270" i="51" s="1"/>
  <c r="Q270" i="51" s="1"/>
  <c r="S270" i="51" s="1"/>
  <c r="U270" i="51" s="1"/>
  <c r="W270" i="51" s="1"/>
  <c r="Y270" i="51" s="1"/>
  <c r="J270" i="51"/>
  <c r="L270" i="51" s="1"/>
  <c r="N270" i="51" s="1"/>
  <c r="P270" i="51" s="1"/>
  <c r="R270" i="51" s="1"/>
  <c r="T270" i="51" s="1"/>
  <c r="V270" i="51" s="1"/>
  <c r="X270" i="51" s="1"/>
  <c r="Z270" i="51" s="1"/>
  <c r="M269" i="51"/>
  <c r="O269" i="51" s="1"/>
  <c r="Q269" i="51" s="1"/>
  <c r="S269" i="51" s="1"/>
  <c r="U269" i="51" s="1"/>
  <c r="W269" i="51" s="1"/>
  <c r="Y269" i="51" s="1"/>
  <c r="J269" i="51"/>
  <c r="L269" i="51" s="1"/>
  <c r="N269" i="51" s="1"/>
  <c r="P269" i="51" s="1"/>
  <c r="R269" i="51" s="1"/>
  <c r="T269" i="51" s="1"/>
  <c r="V269" i="51" s="1"/>
  <c r="X269" i="51" s="1"/>
  <c r="Z269" i="51" s="1"/>
  <c r="M268" i="51"/>
  <c r="O268" i="51" s="1"/>
  <c r="Q268" i="51" s="1"/>
  <c r="S268" i="51" s="1"/>
  <c r="U268" i="51" s="1"/>
  <c r="W268" i="51" s="1"/>
  <c r="Y268" i="51" s="1"/>
  <c r="J268" i="51"/>
  <c r="L268" i="51" s="1"/>
  <c r="N268" i="51" s="1"/>
  <c r="P268" i="51" s="1"/>
  <c r="R268" i="51" s="1"/>
  <c r="T268" i="51" s="1"/>
  <c r="V268" i="51" s="1"/>
  <c r="X268" i="51" s="1"/>
  <c r="Z268" i="51" s="1"/>
  <c r="M267" i="51"/>
  <c r="J267" i="51"/>
  <c r="M266" i="51"/>
  <c r="O266" i="51" s="1"/>
  <c r="J266" i="51"/>
  <c r="L266" i="51" s="1"/>
  <c r="N266" i="51" s="1"/>
  <c r="P266" i="51" s="1"/>
  <c r="R266" i="51" s="1"/>
  <c r="T266" i="51" s="1"/>
  <c r="V266" i="51" s="1"/>
  <c r="X266" i="51" s="1"/>
  <c r="Z266" i="51" s="1"/>
  <c r="K265" i="51"/>
  <c r="I265" i="51"/>
  <c r="M264" i="51"/>
  <c r="J264" i="51"/>
  <c r="J263" i="51" s="1"/>
  <c r="K263" i="51"/>
  <c r="I263" i="51"/>
  <c r="M261" i="51"/>
  <c r="M260" i="51" s="1"/>
  <c r="M259" i="51" s="1"/>
  <c r="J261" i="51"/>
  <c r="J260" i="51" s="1"/>
  <c r="J259" i="51" s="1"/>
  <c r="K260" i="51"/>
  <c r="K259" i="51" s="1"/>
  <c r="I260" i="51"/>
  <c r="I259" i="51" s="1"/>
  <c r="M258" i="51"/>
  <c r="M257" i="51" s="1"/>
  <c r="M256" i="51" s="1"/>
  <c r="J258" i="51"/>
  <c r="R254" i="51"/>
  <c r="O254" i="51"/>
  <c r="O252" i="51" s="1"/>
  <c r="J254" i="51"/>
  <c r="R253" i="51"/>
  <c r="S253" i="51" s="1"/>
  <c r="Q252" i="51"/>
  <c r="P252" i="51"/>
  <c r="N252" i="51"/>
  <c r="M252" i="51"/>
  <c r="L252" i="51"/>
  <c r="K252" i="51"/>
  <c r="I252" i="51"/>
  <c r="H252" i="51"/>
  <c r="G252" i="51"/>
  <c r="R251" i="51"/>
  <c r="R250" i="51" s="1"/>
  <c r="O251" i="51"/>
  <c r="O250" i="51" s="1"/>
  <c r="J251" i="51"/>
  <c r="Q250" i="51"/>
  <c r="P250" i="51"/>
  <c r="N250" i="51"/>
  <c r="M250" i="51"/>
  <c r="L250" i="51"/>
  <c r="K250" i="51"/>
  <c r="I250" i="51"/>
  <c r="H250" i="51"/>
  <c r="G250" i="51"/>
  <c r="G245" i="51" s="1"/>
  <c r="R249" i="51"/>
  <c r="O249" i="51"/>
  <c r="O246" i="51" s="1"/>
  <c r="J249" i="51"/>
  <c r="R248" i="51"/>
  <c r="S248" i="51" s="1"/>
  <c r="T248" i="51" s="1"/>
  <c r="U248" i="51" s="1"/>
  <c r="V248" i="51" s="1"/>
  <c r="R247" i="51"/>
  <c r="S247" i="51" s="1"/>
  <c r="Q246" i="51"/>
  <c r="P246" i="51"/>
  <c r="N246" i="51"/>
  <c r="M246" i="51"/>
  <c r="L246" i="51"/>
  <c r="K246" i="51"/>
  <c r="I246" i="51"/>
  <c r="H246" i="51"/>
  <c r="R241" i="51"/>
  <c r="R240" i="51"/>
  <c r="O240" i="51"/>
  <c r="J240" i="51"/>
  <c r="R232" i="51"/>
  <c r="M232" i="51"/>
  <c r="L232" i="51"/>
  <c r="L231" i="51" s="1"/>
  <c r="J232" i="51"/>
  <c r="Q231" i="51"/>
  <c r="P231" i="51"/>
  <c r="N231" i="51"/>
  <c r="K231" i="51"/>
  <c r="I231" i="51"/>
  <c r="H231" i="51"/>
  <c r="R229" i="51"/>
  <c r="O229" i="51"/>
  <c r="J229" i="51"/>
  <c r="R222" i="51"/>
  <c r="O222" i="51"/>
  <c r="J222" i="51"/>
  <c r="Q221" i="51"/>
  <c r="Q219" i="51" s="1"/>
  <c r="Q218" i="51" s="1"/>
  <c r="P221" i="51"/>
  <c r="P219" i="51" s="1"/>
  <c r="P218" i="51" s="1"/>
  <c r="N221" i="51"/>
  <c r="N219" i="51" s="1"/>
  <c r="N218" i="51" s="1"/>
  <c r="M221" i="51"/>
  <c r="L221" i="51"/>
  <c r="K221" i="51"/>
  <c r="I221" i="51"/>
  <c r="H221" i="51"/>
  <c r="P204" i="51"/>
  <c r="N204" i="51"/>
  <c r="M204" i="51"/>
  <c r="L204" i="51"/>
  <c r="J204" i="51"/>
  <c r="R162" i="51"/>
  <c r="M162" i="51"/>
  <c r="L162" i="51"/>
  <c r="I162" i="51"/>
  <c r="J162" i="51" s="1"/>
  <c r="G161" i="51"/>
  <c r="R152" i="51"/>
  <c r="T152" i="51" s="1"/>
  <c r="O152" i="51"/>
  <c r="J152" i="51"/>
  <c r="Q151" i="51"/>
  <c r="O151" i="51"/>
  <c r="J151" i="51"/>
  <c r="P131" i="51"/>
  <c r="P130" i="51" s="1"/>
  <c r="N131" i="51"/>
  <c r="N130" i="51" s="1"/>
  <c r="M131" i="51"/>
  <c r="M130" i="51" s="1"/>
  <c r="L131" i="51"/>
  <c r="L130" i="51" s="1"/>
  <c r="K131" i="51"/>
  <c r="K130" i="51" s="1"/>
  <c r="I131" i="51"/>
  <c r="I130" i="51" s="1"/>
  <c r="H131" i="51"/>
  <c r="H130" i="51" s="1"/>
  <c r="G130" i="51"/>
  <c r="M128" i="51"/>
  <c r="J128" i="51"/>
  <c r="M123" i="51"/>
  <c r="J123" i="51"/>
  <c r="M120" i="51"/>
  <c r="J120" i="51"/>
  <c r="M118" i="51"/>
  <c r="O118" i="51" s="1"/>
  <c r="J118" i="51"/>
  <c r="M117" i="51"/>
  <c r="O117" i="51" s="1"/>
  <c r="Q117" i="51" s="1"/>
  <c r="J117" i="51"/>
  <c r="L117" i="51" s="1"/>
  <c r="N117" i="51" s="1"/>
  <c r="P117" i="51" s="1"/>
  <c r="R117" i="51" s="1"/>
  <c r="R109" i="51"/>
  <c r="R108" i="51" s="1"/>
  <c r="R107" i="51" s="1"/>
  <c r="O109" i="51"/>
  <c r="J109" i="51"/>
  <c r="Q108" i="51"/>
  <c r="Q107" i="51" s="1"/>
  <c r="Q106" i="51" s="1"/>
  <c r="P108" i="51"/>
  <c r="P107" i="51" s="1"/>
  <c r="P106" i="51" s="1"/>
  <c r="N108" i="51"/>
  <c r="N107" i="51" s="1"/>
  <c r="N106" i="51" s="1"/>
  <c r="M108" i="51"/>
  <c r="M107" i="51" s="1"/>
  <c r="M106" i="51" s="1"/>
  <c r="L108" i="51"/>
  <c r="L107" i="51" s="1"/>
  <c r="L106" i="51" s="1"/>
  <c r="K108" i="51"/>
  <c r="K107" i="51" s="1"/>
  <c r="K106" i="51" s="1"/>
  <c r="I108" i="51"/>
  <c r="I107" i="51" s="1"/>
  <c r="I106" i="51" s="1"/>
  <c r="H108" i="51"/>
  <c r="G108" i="51"/>
  <c r="G107" i="51" s="1"/>
  <c r="G106" i="51" s="1"/>
  <c r="O99" i="51"/>
  <c r="J99" i="51"/>
  <c r="Q97" i="51"/>
  <c r="Q96" i="51" s="1"/>
  <c r="Q95" i="51" s="1"/>
  <c r="P97" i="51"/>
  <c r="P96" i="51" s="1"/>
  <c r="P95" i="51" s="1"/>
  <c r="N97" i="51"/>
  <c r="N96" i="51" s="1"/>
  <c r="N95" i="51" s="1"/>
  <c r="M97" i="51"/>
  <c r="M96" i="51" s="1"/>
  <c r="M95" i="51" s="1"/>
  <c r="L97" i="51"/>
  <c r="L96" i="51" s="1"/>
  <c r="L95" i="51" s="1"/>
  <c r="K97" i="51"/>
  <c r="K96" i="51" s="1"/>
  <c r="K95" i="51" s="1"/>
  <c r="I97" i="51"/>
  <c r="H97" i="51"/>
  <c r="H96" i="51" s="1"/>
  <c r="H95" i="51" s="1"/>
  <c r="G96" i="51"/>
  <c r="G95" i="51" s="1"/>
  <c r="R94" i="51"/>
  <c r="R93" i="51" s="1"/>
  <c r="O94" i="51"/>
  <c r="O93" i="51" s="1"/>
  <c r="O68" i="51" s="1"/>
  <c r="J94" i="51"/>
  <c r="Q93" i="51"/>
  <c r="Q68" i="51" s="1"/>
  <c r="P93" i="51"/>
  <c r="P68" i="51" s="1"/>
  <c r="N93" i="51"/>
  <c r="N68" i="51" s="1"/>
  <c r="M93" i="51"/>
  <c r="M68" i="51" s="1"/>
  <c r="L93" i="51"/>
  <c r="L68" i="51" s="1"/>
  <c r="K93" i="51"/>
  <c r="K68" i="51" s="1"/>
  <c r="I93" i="51"/>
  <c r="I68" i="51" s="1"/>
  <c r="H93" i="51"/>
  <c r="H68" i="51" s="1"/>
  <c r="R91" i="51"/>
  <c r="O91" i="51"/>
  <c r="J91" i="51"/>
  <c r="J90" i="51"/>
  <c r="R89" i="51"/>
  <c r="O89" i="51"/>
  <c r="J89" i="51"/>
  <c r="R88" i="51"/>
  <c r="O88" i="51"/>
  <c r="J88" i="51"/>
  <c r="R87" i="51"/>
  <c r="O87" i="51"/>
  <c r="J87" i="51"/>
  <c r="R82" i="51"/>
  <c r="O82" i="51"/>
  <c r="I82" i="51"/>
  <c r="J82" i="51" s="1"/>
  <c r="R81" i="51"/>
  <c r="O81" i="51"/>
  <c r="I81" i="51"/>
  <c r="Q79" i="51"/>
  <c r="N79" i="51"/>
  <c r="K79" i="51"/>
  <c r="H79" i="51"/>
  <c r="R72" i="51"/>
  <c r="T72" i="51" s="1"/>
  <c r="O72" i="51"/>
  <c r="I72" i="51"/>
  <c r="P56" i="51"/>
  <c r="N56" i="51"/>
  <c r="K56" i="51"/>
  <c r="R61" i="51"/>
  <c r="O61" i="51"/>
  <c r="J61" i="51"/>
  <c r="R57" i="51"/>
  <c r="M57" i="51"/>
  <c r="M56" i="51" s="1"/>
  <c r="L57" i="51"/>
  <c r="L56" i="51" s="1"/>
  <c r="J57" i="51"/>
  <c r="Q56" i="51"/>
  <c r="I56" i="51"/>
  <c r="H56" i="51"/>
  <c r="G56" i="51"/>
  <c r="R43" i="51"/>
  <c r="T43" i="51" s="1"/>
  <c r="O43" i="51"/>
  <c r="R39" i="51"/>
  <c r="M39" i="51"/>
  <c r="O39" i="51" s="1"/>
  <c r="L39" i="51"/>
  <c r="L38" i="51" s="1"/>
  <c r="J39" i="51"/>
  <c r="Q38" i="51"/>
  <c r="P38" i="51"/>
  <c r="N38" i="51"/>
  <c r="K38" i="51"/>
  <c r="I38" i="51"/>
  <c r="H38" i="51"/>
  <c r="G38" i="51"/>
  <c r="R33" i="51"/>
  <c r="R32" i="51" s="1"/>
  <c r="O33" i="51"/>
  <c r="O32" i="51" s="1"/>
  <c r="O31" i="51" s="1"/>
  <c r="J33" i="51"/>
  <c r="Q32" i="51"/>
  <c r="Q31" i="51" s="1"/>
  <c r="P32" i="51"/>
  <c r="P31" i="51" s="1"/>
  <c r="N32" i="51"/>
  <c r="N31" i="51" s="1"/>
  <c r="M32" i="51"/>
  <c r="M31" i="51" s="1"/>
  <c r="L32" i="51"/>
  <c r="L31" i="51" s="1"/>
  <c r="K32" i="51"/>
  <c r="K31" i="51" s="1"/>
  <c r="I32" i="51"/>
  <c r="I31" i="51" s="1"/>
  <c r="H32" i="51"/>
  <c r="H31" i="51" s="1"/>
  <c r="H15" i="51" s="1"/>
  <c r="G32" i="51"/>
  <c r="G31" i="51" s="1"/>
  <c r="R28" i="51"/>
  <c r="O28" i="51"/>
  <c r="R27" i="51"/>
  <c r="M27" i="51"/>
  <c r="O27" i="51" s="1"/>
  <c r="L27" i="51"/>
  <c r="J27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M14" i="51"/>
  <c r="L14" i="51"/>
  <c r="J14" i="51"/>
  <c r="J13" i="51" s="1"/>
  <c r="J12" i="51" s="1"/>
  <c r="J11" i="51" s="1"/>
  <c r="V440" i="51"/>
  <c r="V439" i="51" s="1"/>
  <c r="V429" i="51"/>
  <c r="V428" i="51" s="1"/>
  <c r="V850" i="51"/>
  <c r="V847" i="51" s="1"/>
  <c r="J72" i="51"/>
  <c r="T632" i="51"/>
  <c r="X633" i="51"/>
  <c r="T440" i="51"/>
  <c r="T439" i="51" s="1"/>
  <c r="T850" i="51"/>
  <c r="T847" i="51" s="1"/>
  <c r="T628" i="51"/>
  <c r="T627" i="51" s="1"/>
  <c r="S627" i="51"/>
  <c r="K762" i="51"/>
  <c r="G444" i="51"/>
  <c r="K444" i="51"/>
  <c r="M444" i="51"/>
  <c r="Q444" i="51"/>
  <c r="O318" i="51"/>
  <c r="O317" i="51" s="1"/>
  <c r="L444" i="51"/>
  <c r="P444" i="51"/>
  <c r="H762" i="51"/>
  <c r="S459" i="51"/>
  <c r="T32" i="51"/>
  <c r="N762" i="51"/>
  <c r="M318" i="51"/>
  <c r="M317" i="51" s="1"/>
  <c r="I444" i="51"/>
  <c r="N444" i="51"/>
  <c r="J318" i="51"/>
  <c r="J317" i="51" s="1"/>
  <c r="O444" i="51"/>
  <c r="O762" i="51"/>
  <c r="S580" i="51"/>
  <c r="V864" i="51"/>
  <c r="V858" i="51" s="1"/>
  <c r="V857" i="51" s="1"/>
  <c r="S689" i="51"/>
  <c r="V644" i="51"/>
  <c r="S358" i="51"/>
  <c r="V655" i="51"/>
  <c r="X655" i="51" s="1"/>
  <c r="Z655" i="51" s="1"/>
  <c r="V577" i="51"/>
  <c r="H444" i="51"/>
  <c r="L762" i="51"/>
  <c r="V221" i="51"/>
  <c r="V446" i="51"/>
  <c r="V157" i="51"/>
  <c r="V512" i="51"/>
  <c r="V505" i="51" s="1"/>
  <c r="V492" i="51"/>
  <c r="V491" i="51" s="1"/>
  <c r="V415" i="51"/>
  <c r="V689" i="51"/>
  <c r="V314" i="51"/>
  <c r="V313" i="51" s="1"/>
  <c r="V312" i="51" s="1"/>
  <c r="V750" i="51"/>
  <c r="V590" i="51"/>
  <c r="V854" i="51"/>
  <c r="V853" i="51" s="1"/>
  <c r="V597" i="51"/>
  <c r="V805" i="51"/>
  <c r="V299" i="51"/>
  <c r="V285" i="51" s="1"/>
  <c r="V97" i="51"/>
  <c r="V96" i="51" s="1"/>
  <c r="V95" i="51" s="1"/>
  <c r="V632" i="51"/>
  <c r="V394" i="51"/>
  <c r="V365" i="51" s="1"/>
  <c r="V873" i="51"/>
  <c r="V872" i="51" s="1"/>
  <c r="V350" i="51"/>
  <c r="V281" i="51"/>
  <c r="V231" i="51"/>
  <c r="T599" i="51"/>
  <c r="V599" i="51"/>
  <c r="T108" i="51"/>
  <c r="T107" i="51" s="1"/>
  <c r="V109" i="51"/>
  <c r="V627" i="51"/>
  <c r="V773" i="51"/>
  <c r="V759" i="51"/>
  <c r="T444" i="51"/>
  <c r="T418" i="51"/>
  <c r="V418" i="51"/>
  <c r="T809" i="51"/>
  <c r="V809" i="51"/>
  <c r="T250" i="51"/>
  <c r="V250" i="51"/>
  <c r="V580" i="51"/>
  <c r="T93" i="51"/>
  <c r="V94" i="51"/>
  <c r="X94" i="51" s="1"/>
  <c r="X93" i="51" s="1"/>
  <c r="V756" i="51"/>
  <c r="T864" i="51"/>
  <c r="T858" i="51" s="1"/>
  <c r="T857" i="51" s="1"/>
  <c r="T415" i="51"/>
  <c r="T590" i="51"/>
  <c r="T854" i="51"/>
  <c r="T853" i="51" s="1"/>
  <c r="T805" i="51"/>
  <c r="T492" i="51"/>
  <c r="T491" i="51" s="1"/>
  <c r="T773" i="51"/>
  <c r="T622" i="51"/>
  <c r="S621" i="51"/>
  <c r="P762" i="51"/>
  <c r="M762" i="51"/>
  <c r="J444" i="51"/>
  <c r="R444" i="51"/>
  <c r="N318" i="51"/>
  <c r="N317" i="51" s="1"/>
  <c r="L318" i="51"/>
  <c r="L317" i="51" s="1"/>
  <c r="V459" i="51"/>
  <c r="S444" i="51"/>
  <c r="Q318" i="51"/>
  <c r="Q317" i="51" s="1"/>
  <c r="S721" i="51"/>
  <c r="P318" i="51"/>
  <c r="P317" i="51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18" i="54"/>
  <c r="D9" i="54" s="1"/>
  <c r="D25" i="54" s="1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G20" i="47"/>
  <c r="F20" i="47"/>
  <c r="E20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6" i="46"/>
  <c r="D24" i="46"/>
  <c r="D23" i="46"/>
  <c r="D18" i="46"/>
  <c r="D17" i="46"/>
  <c r="D16" i="46"/>
  <c r="D15" i="46"/>
  <c r="D14" i="46"/>
  <c r="D13" i="46"/>
  <c r="D12" i="46"/>
  <c r="D11" i="46"/>
  <c r="D10" i="46"/>
  <c r="G27" i="46"/>
  <c r="X69" i="51"/>
  <c r="N25" i="47"/>
  <c r="R25" i="47"/>
  <c r="V407" i="51"/>
  <c r="V795" i="51"/>
  <c r="K27" i="46"/>
  <c r="S318" i="51"/>
  <c r="S317" i="51" s="1"/>
  <c r="T464" i="51"/>
  <c r="U464" i="51"/>
  <c r="O25" i="47"/>
  <c r="L25" i="54"/>
  <c r="P25" i="54"/>
  <c r="H27" i="46"/>
  <c r="F25" i="54"/>
  <c r="I25" i="54"/>
  <c r="D20" i="54"/>
  <c r="D20" i="47"/>
  <c r="E25" i="47"/>
  <c r="G25" i="47"/>
  <c r="R318" i="51"/>
  <c r="R317" i="51" s="1"/>
  <c r="Q762" i="51"/>
  <c r="D19" i="46"/>
  <c r="F25" i="47"/>
  <c r="V621" i="51"/>
  <c r="V444" i="51"/>
  <c r="U444" i="51"/>
  <c r="Y495" i="51"/>
  <c r="X762" i="51"/>
  <c r="V318" i="51"/>
  <c r="V317" i="51" s="1"/>
  <c r="V629" i="51"/>
  <c r="V464" i="51"/>
  <c r="R618" i="51"/>
  <c r="R613" i="51" s="1"/>
  <c r="K10" i="44"/>
  <c r="I10" i="44" s="1"/>
  <c r="L10" i="44"/>
  <c r="W629" i="51"/>
  <c r="X631" i="51"/>
  <c r="Z631" i="51" s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E7" i="55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 s="1"/>
  <c r="O10" i="45" s="1"/>
  <c r="N12" i="45"/>
  <c r="N11" i="45" s="1"/>
  <c r="L12" i="45"/>
  <c r="K12" i="45"/>
  <c r="K11" i="45" s="1"/>
  <c r="K10" i="45" s="1"/>
  <c r="J12" i="45"/>
  <c r="I12" i="45" s="1"/>
  <c r="J11" i="45"/>
  <c r="J10" i="45" s="1"/>
  <c r="D11" i="52"/>
  <c r="D10" i="52"/>
  <c r="D9" i="52"/>
  <c r="D8" i="52"/>
  <c r="D7" i="52"/>
  <c r="F7" i="52" s="1"/>
  <c r="H8" i="48"/>
  <c r="H9" i="48" s="1"/>
  <c r="D8" i="48"/>
  <c r="D9" i="48" s="1"/>
  <c r="K9" i="49"/>
  <c r="J9" i="49"/>
  <c r="I9" i="49"/>
  <c r="H8" i="49"/>
  <c r="D8" i="49"/>
  <c r="D9" i="49" s="1"/>
  <c r="O10" i="44"/>
  <c r="N10" i="44"/>
  <c r="M10" i="44" s="1"/>
  <c r="H9" i="49"/>
  <c r="M12" i="45"/>
  <c r="C12" i="55"/>
  <c r="D12" i="55"/>
  <c r="P10" i="44"/>
  <c r="G12" i="52"/>
  <c r="H12" i="52"/>
  <c r="E47" i="15"/>
  <c r="E68" i="15"/>
  <c r="E67" i="15"/>
  <c r="E34" i="15"/>
  <c r="E64" i="15"/>
  <c r="E62" i="15"/>
  <c r="E37" i="15"/>
  <c r="E35" i="15" s="1"/>
  <c r="E43" i="15"/>
  <c r="E16" i="15"/>
  <c r="E32" i="15"/>
  <c r="E52" i="15"/>
  <c r="E51" i="15" s="1"/>
  <c r="E56" i="15"/>
  <c r="E66" i="15"/>
  <c r="E65" i="15"/>
  <c r="E19" i="15"/>
  <c r="E18" i="15" s="1"/>
  <c r="E14" i="15"/>
  <c r="E58" i="15"/>
  <c r="E57" i="15" s="1"/>
  <c r="E46" i="15"/>
  <c r="E49" i="15"/>
  <c r="E48" i="15" s="1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D10" i="25"/>
  <c r="B11" i="34"/>
  <c r="H10" i="25"/>
  <c r="E17" i="15"/>
  <c r="E11" i="15"/>
  <c r="E44" i="15"/>
  <c r="E42" i="15" s="1"/>
  <c r="E28" i="15"/>
  <c r="E10" i="15"/>
  <c r="E9" i="15" s="1"/>
  <c r="E55" i="15"/>
  <c r="E50" i="15"/>
  <c r="E8" i="52"/>
  <c r="G11" i="52"/>
  <c r="E11" i="52"/>
  <c r="E10" i="52"/>
  <c r="E9" i="52"/>
  <c r="G10" i="52"/>
  <c r="G9" i="52"/>
  <c r="E7" i="52"/>
  <c r="C73" i="15"/>
  <c r="E73" i="15"/>
  <c r="D73" i="15"/>
  <c r="K92" i="56"/>
  <c r="K59" i="56"/>
  <c r="K35" i="56"/>
  <c r="K90" i="56"/>
  <c r="K91" i="56"/>
  <c r="K70" i="56"/>
  <c r="K10" i="56"/>
  <c r="K82" i="56"/>
  <c r="M89" i="56"/>
  <c r="N83" i="56"/>
  <c r="N82" i="56" s="1"/>
  <c r="M780" i="56"/>
  <c r="N780" i="56" s="1"/>
  <c r="M71" i="56"/>
  <c r="N424" i="56"/>
  <c r="D9" i="46" l="1"/>
  <c r="M11" i="45"/>
  <c r="N10" i="45"/>
  <c r="M10" i="45" s="1"/>
  <c r="I10" i="45"/>
  <c r="I11" i="45"/>
  <c r="M145" i="56"/>
  <c r="M144" i="56" s="1"/>
  <c r="O145" i="56"/>
  <c r="O144" i="56" s="1"/>
  <c r="Y161" i="51"/>
  <c r="X161" i="51"/>
  <c r="X160" i="51" s="1"/>
  <c r="E27" i="15"/>
  <c r="G7" i="55"/>
  <c r="G8" i="55"/>
  <c r="F7" i="55"/>
  <c r="F10" i="55"/>
  <c r="F11" i="55"/>
  <c r="E12" i="52"/>
  <c r="N191" i="56"/>
  <c r="N115" i="56"/>
  <c r="J115" i="56"/>
  <c r="J114" i="56" s="1"/>
  <c r="K724" i="56"/>
  <c r="M392" i="56"/>
  <c r="M827" i="56"/>
  <c r="M826" i="56" s="1"/>
  <c r="C54" i="50" s="1"/>
  <c r="N803" i="56"/>
  <c r="L536" i="56"/>
  <c r="L501" i="56" s="1"/>
  <c r="O392" i="56"/>
  <c r="Y160" i="51"/>
  <c r="C44" i="15" s="1"/>
  <c r="J993" i="51"/>
  <c r="L993" i="51" s="1"/>
  <c r="D9" i="47"/>
  <c r="D25" i="47" s="1"/>
  <c r="E52" i="50"/>
  <c r="C52" i="50"/>
  <c r="C64" i="50"/>
  <c r="C62" i="50" s="1"/>
  <c r="N824" i="56"/>
  <c r="N823" i="56" s="1"/>
  <c r="N774" i="56"/>
  <c r="N399" i="56"/>
  <c r="N817" i="56"/>
  <c r="E27" i="46"/>
  <c r="Q686" i="51"/>
  <c r="Q685" i="51" s="1"/>
  <c r="Q683" i="51" s="1"/>
  <c r="J948" i="51"/>
  <c r="M948" i="51" s="1"/>
  <c r="J1000" i="51"/>
  <c r="M1000" i="51" s="1"/>
  <c r="M685" i="51"/>
  <c r="M683" i="51" s="1"/>
  <c r="J937" i="51"/>
  <c r="L937" i="51" s="1"/>
  <c r="L941" i="51"/>
  <c r="L523" i="51"/>
  <c r="N523" i="51" s="1"/>
  <c r="O680" i="51"/>
  <c r="O679" i="51" s="1"/>
  <c r="J964" i="51"/>
  <c r="M964" i="51" s="1"/>
  <c r="J1004" i="51"/>
  <c r="M1004" i="51" s="1"/>
  <c r="K933" i="51"/>
  <c r="M933" i="51" s="1"/>
  <c r="O933" i="51" s="1"/>
  <c r="K917" i="51"/>
  <c r="M917" i="51" s="1"/>
  <c r="L997" i="51"/>
  <c r="K925" i="51"/>
  <c r="M925" i="51" s="1"/>
  <c r="J929" i="51"/>
  <c r="M929" i="51" s="1"/>
  <c r="J949" i="51"/>
  <c r="L949" i="51" s="1"/>
  <c r="N949" i="51" s="1"/>
  <c r="K913" i="51"/>
  <c r="N913" i="51" s="1"/>
  <c r="J985" i="51"/>
  <c r="L985" i="51" s="1"/>
  <c r="N985" i="51" s="1"/>
  <c r="J953" i="51"/>
  <c r="L953" i="51" s="1"/>
  <c r="N953" i="51" s="1"/>
  <c r="P245" i="51"/>
  <c r="M736" i="51"/>
  <c r="O606" i="51"/>
  <c r="Q606" i="51" s="1"/>
  <c r="Q605" i="51" s="1"/>
  <c r="J908" i="51"/>
  <c r="L908" i="51" s="1"/>
  <c r="N908" i="51" s="1"/>
  <c r="J762" i="51"/>
  <c r="I305" i="51"/>
  <c r="I308" i="51"/>
  <c r="J984" i="51"/>
  <c r="L984" i="51" s="1"/>
  <c r="L900" i="51"/>
  <c r="Z331" i="51"/>
  <c r="O308" i="51"/>
  <c r="N563" i="56"/>
  <c r="N562" i="56" s="1"/>
  <c r="D13" i="50" s="1"/>
  <c r="O212" i="56"/>
  <c r="N338" i="56"/>
  <c r="K409" i="56"/>
  <c r="M70" i="56"/>
  <c r="M59" i="56" s="1"/>
  <c r="C50" i="50" s="1"/>
  <c r="M343" i="56"/>
  <c r="C14" i="50" s="1"/>
  <c r="N726" i="56"/>
  <c r="O726" i="56" s="1"/>
  <c r="O724" i="56" s="1"/>
  <c r="O698" i="56" s="1"/>
  <c r="K679" i="56"/>
  <c r="K384" i="56"/>
  <c r="J453" i="56"/>
  <c r="K698" i="56"/>
  <c r="N391" i="56"/>
  <c r="O391" i="56" s="1"/>
  <c r="O384" i="56" s="1"/>
  <c r="J650" i="56"/>
  <c r="N422" i="56"/>
  <c r="K410" i="56"/>
  <c r="N553" i="56"/>
  <c r="K411" i="56"/>
  <c r="K496" i="56"/>
  <c r="O83" i="56"/>
  <c r="O82" i="56" s="1"/>
  <c r="N412" i="56"/>
  <c r="O412" i="56" s="1"/>
  <c r="O411" i="56" s="1"/>
  <c r="O410" i="56" s="1"/>
  <c r="O409" i="56" s="1"/>
  <c r="J1028" i="51"/>
  <c r="L1028" i="51" s="1"/>
  <c r="I1033" i="51"/>
  <c r="J1033" i="51" s="1"/>
  <c r="M1033" i="51" s="1"/>
  <c r="J1024" i="51"/>
  <c r="L1024" i="51" s="1"/>
  <c r="Q684" i="51"/>
  <c r="S684" i="51" s="1"/>
  <c r="M732" i="51"/>
  <c r="M681" i="51"/>
  <c r="N756" i="51"/>
  <c r="N727" i="51" s="1"/>
  <c r="L601" i="51"/>
  <c r="X414" i="51"/>
  <c r="Z850" i="51"/>
  <c r="Z847" i="51" s="1"/>
  <c r="T621" i="51"/>
  <c r="J996" i="51"/>
  <c r="M996" i="51" s="1"/>
  <c r="J1034" i="51"/>
  <c r="L1034" i="51" s="1"/>
  <c r="N1034" i="51" s="1"/>
  <c r="K1008" i="51"/>
  <c r="M1008" i="51" s="1"/>
  <c r="O1008" i="51" s="1"/>
  <c r="Q682" i="51"/>
  <c r="Q681" i="51" s="1"/>
  <c r="O738" i="51"/>
  <c r="Q738" i="51" s="1"/>
  <c r="K900" i="51"/>
  <c r="M900" i="51" s="1"/>
  <c r="I69" i="51"/>
  <c r="I65" i="51" s="1"/>
  <c r="J65" i="51" s="1"/>
  <c r="C55" i="15"/>
  <c r="Z635" i="51"/>
  <c r="T700" i="51"/>
  <c r="C14" i="15"/>
  <c r="C10" i="15"/>
  <c r="Y872" i="51"/>
  <c r="C64" i="15"/>
  <c r="C62" i="15" s="1"/>
  <c r="J625" i="56"/>
  <c r="N741" i="56"/>
  <c r="O741" i="56" s="1"/>
  <c r="O740" i="56" s="1"/>
  <c r="J17" i="56"/>
  <c r="J16" i="56" s="1"/>
  <c r="N500" i="56"/>
  <c r="O500" i="56" s="1"/>
  <c r="O496" i="56" s="1"/>
  <c r="O490" i="56" s="1"/>
  <c r="E10" i="50" s="1"/>
  <c r="K740" i="56"/>
  <c r="J212" i="56"/>
  <c r="J211" i="56" s="1"/>
  <c r="O569" i="56"/>
  <c r="E16" i="50" s="1"/>
  <c r="N651" i="56"/>
  <c r="N650" i="56" s="1"/>
  <c r="J315" i="56"/>
  <c r="O773" i="56"/>
  <c r="O772" i="56" s="1"/>
  <c r="N547" i="56"/>
  <c r="N428" i="56"/>
  <c r="O428" i="56" s="1"/>
  <c r="O427" i="56" s="1"/>
  <c r="K427" i="56"/>
  <c r="L496" i="56"/>
  <c r="L490" i="56" s="1"/>
  <c r="K814" i="56"/>
  <c r="K670" i="56"/>
  <c r="K738" i="56"/>
  <c r="L738" i="56" s="1"/>
  <c r="O316" i="56"/>
  <c r="N195" i="56"/>
  <c r="L814" i="56"/>
  <c r="J705" i="56"/>
  <c r="L670" i="56"/>
  <c r="N300" i="56"/>
  <c r="N299" i="56" s="1"/>
  <c r="N298" i="56" s="1"/>
  <c r="N393" i="56"/>
  <c r="K797" i="56"/>
  <c r="L797" i="56" s="1"/>
  <c r="M797" i="56" s="1"/>
  <c r="M796" i="56" s="1"/>
  <c r="M795" i="56" s="1"/>
  <c r="N264" i="56"/>
  <c r="N448" i="56"/>
  <c r="E14" i="50"/>
  <c r="K141" i="56"/>
  <c r="N269" i="56"/>
  <c r="N644" i="56"/>
  <c r="O826" i="56"/>
  <c r="E54" i="50" s="1"/>
  <c r="N205" i="56"/>
  <c r="J392" i="56"/>
  <c r="M460" i="56"/>
  <c r="O460" i="56" s="1"/>
  <c r="M478" i="56"/>
  <c r="O478" i="56" s="1"/>
  <c r="N569" i="56"/>
  <c r="D16" i="50" s="1"/>
  <c r="N442" i="56"/>
  <c r="N527" i="56"/>
  <c r="N86" i="56"/>
  <c r="N85" i="56" s="1"/>
  <c r="N84" i="56" s="1"/>
  <c r="Z421" i="51"/>
  <c r="Z242" i="51"/>
  <c r="Z317" i="51"/>
  <c r="J734" i="51"/>
  <c r="J610" i="51"/>
  <c r="J608" i="51" s="1"/>
  <c r="J882" i="51"/>
  <c r="M882" i="51" s="1"/>
  <c r="I468" i="51"/>
  <c r="I467" i="51" s="1"/>
  <c r="I466" i="51" s="1"/>
  <c r="N468" i="51"/>
  <c r="N467" i="51" s="1"/>
  <c r="N466" i="51" s="1"/>
  <c r="X95" i="51"/>
  <c r="Z779" i="51"/>
  <c r="Z831" i="51"/>
  <c r="R759" i="51"/>
  <c r="Z837" i="51"/>
  <c r="M734" i="51"/>
  <c r="M610" i="51"/>
  <c r="M608" i="51" s="1"/>
  <c r="O740" i="51"/>
  <c r="O739" i="51" s="1"/>
  <c r="K911" i="51"/>
  <c r="M911" i="51" s="1"/>
  <c r="K907" i="51"/>
  <c r="M907" i="51" s="1"/>
  <c r="J1011" i="51"/>
  <c r="L1011" i="51" s="1"/>
  <c r="N1011" i="51" s="1"/>
  <c r="V753" i="51"/>
  <c r="V727" i="51" s="1"/>
  <c r="Y858" i="51"/>
  <c r="Y857" i="51" s="1"/>
  <c r="C54" i="15" s="1"/>
  <c r="Z590" i="51"/>
  <c r="Z589" i="51" s="1"/>
  <c r="D13" i="15" s="1"/>
  <c r="U38" i="51"/>
  <c r="U37" i="51" s="1"/>
  <c r="U394" i="51"/>
  <c r="U365" i="51" s="1"/>
  <c r="C43" i="15"/>
  <c r="X629" i="51"/>
  <c r="V93" i="51"/>
  <c r="O492" i="51"/>
  <c r="O491" i="51" s="1"/>
  <c r="R492" i="51"/>
  <c r="R491" i="51" s="1"/>
  <c r="M821" i="51"/>
  <c r="P821" i="51" s="1"/>
  <c r="Z358" i="51"/>
  <c r="R56" i="51"/>
  <c r="K468" i="51"/>
  <c r="K467" i="51" s="1"/>
  <c r="K466" i="51" s="1"/>
  <c r="P468" i="51"/>
  <c r="P467" i="51" s="1"/>
  <c r="P466" i="51" s="1"/>
  <c r="M596" i="51"/>
  <c r="Q372" i="51"/>
  <c r="S372" i="51" s="1"/>
  <c r="J970" i="51"/>
  <c r="M970" i="51" s="1"/>
  <c r="J942" i="51"/>
  <c r="L942" i="51" s="1"/>
  <c r="N942" i="51" s="1"/>
  <c r="O862" i="51"/>
  <c r="W394" i="51"/>
  <c r="W365" i="51" s="1"/>
  <c r="J914" i="51"/>
  <c r="M914" i="51" s="1"/>
  <c r="T849" i="51"/>
  <c r="U849" i="51" s="1"/>
  <c r="U848" i="51" s="1"/>
  <c r="J934" i="51"/>
  <c r="L934" i="51" s="1"/>
  <c r="N934" i="51" s="1"/>
  <c r="J926" i="51"/>
  <c r="L926" i="51" s="1"/>
  <c r="N926" i="51" s="1"/>
  <c r="R848" i="51"/>
  <c r="S596" i="51"/>
  <c r="U526" i="51"/>
  <c r="U520" i="51" s="1"/>
  <c r="Z580" i="51"/>
  <c r="T698" i="51"/>
  <c r="U698" i="51" s="1"/>
  <c r="N478" i="51"/>
  <c r="P478" i="51" s="1"/>
  <c r="T598" i="51"/>
  <c r="T597" i="51" s="1"/>
  <c r="T596" i="51" s="1"/>
  <c r="L485" i="51"/>
  <c r="N486" i="51"/>
  <c r="N485" i="51" s="1"/>
  <c r="J918" i="51"/>
  <c r="L918" i="51" s="1"/>
  <c r="N918" i="51" s="1"/>
  <c r="J986" i="51"/>
  <c r="L986" i="51" s="1"/>
  <c r="D65" i="15"/>
  <c r="L990" i="51"/>
  <c r="J930" i="51"/>
  <c r="M930" i="51" s="1"/>
  <c r="J898" i="51"/>
  <c r="M898" i="51" s="1"/>
  <c r="J878" i="51"/>
  <c r="M878" i="51" s="1"/>
  <c r="M582" i="51"/>
  <c r="O582" i="51" s="1"/>
  <c r="L264" i="51"/>
  <c r="N264" i="51" s="1"/>
  <c r="K377" i="51"/>
  <c r="M377" i="51" s="1"/>
  <c r="J959" i="51"/>
  <c r="L959" i="51" s="1"/>
  <c r="N959" i="51" s="1"/>
  <c r="Q37" i="51"/>
  <c r="Q36" i="51" s="1"/>
  <c r="L37" i="51"/>
  <c r="L36" i="51" s="1"/>
  <c r="J252" i="51"/>
  <c r="K531" i="51"/>
  <c r="T572" i="51"/>
  <c r="T566" i="51" s="1"/>
  <c r="S873" i="51"/>
  <c r="S872" i="51" s="1"/>
  <c r="L922" i="51"/>
  <c r="K922" i="51"/>
  <c r="M922" i="51" s="1"/>
  <c r="K667" i="51"/>
  <c r="M667" i="51" s="1"/>
  <c r="M666" i="51" s="1"/>
  <c r="L768" i="51"/>
  <c r="J994" i="51"/>
  <c r="M994" i="51" s="1"/>
  <c r="K891" i="51"/>
  <c r="M891" i="51" s="1"/>
  <c r="J938" i="51"/>
  <c r="L938" i="51" s="1"/>
  <c r="N938" i="51" s="1"/>
  <c r="L261" i="51"/>
  <c r="N261" i="51" s="1"/>
  <c r="T31" i="51"/>
  <c r="I668" i="51"/>
  <c r="I665" i="51" s="1"/>
  <c r="I664" i="51" s="1"/>
  <c r="T18" i="51"/>
  <c r="T17" i="51" s="1"/>
  <c r="T16" i="51" s="1"/>
  <c r="Q733" i="51"/>
  <c r="S733" i="51" s="1"/>
  <c r="U733" i="51" s="1"/>
  <c r="W733" i="51" s="1"/>
  <c r="W732" i="51" s="1"/>
  <c r="V336" i="51"/>
  <c r="K887" i="51"/>
  <c r="M887" i="51" s="1"/>
  <c r="O887" i="51" s="1"/>
  <c r="J745" i="51"/>
  <c r="J687" i="51"/>
  <c r="L925" i="51"/>
  <c r="L917" i="51"/>
  <c r="N917" i="51" s="1"/>
  <c r="J983" i="51"/>
  <c r="L983" i="51" s="1"/>
  <c r="N983" i="51" s="1"/>
  <c r="J963" i="51"/>
  <c r="L963" i="51" s="1"/>
  <c r="K941" i="51"/>
  <c r="M941" i="51" s="1"/>
  <c r="J921" i="51"/>
  <c r="L921" i="51" s="1"/>
  <c r="J877" i="51"/>
  <c r="J1007" i="51"/>
  <c r="L1007" i="51" s="1"/>
  <c r="N1007" i="51" s="1"/>
  <c r="K37" i="51"/>
  <c r="K36" i="51" s="1"/>
  <c r="K601" i="51"/>
  <c r="J756" i="51"/>
  <c r="J773" i="51"/>
  <c r="T780" i="51"/>
  <c r="Z628" i="51"/>
  <c r="Z627" i="51" s="1"/>
  <c r="I414" i="51"/>
  <c r="S525" i="51"/>
  <c r="S524" i="51" s="1"/>
  <c r="Q618" i="51"/>
  <c r="Q610" i="51" s="1"/>
  <c r="Q608" i="51" s="1"/>
  <c r="N414" i="51"/>
  <c r="K1019" i="51"/>
  <c r="M1019" i="51" s="1"/>
  <c r="K669" i="51"/>
  <c r="K668" i="51" s="1"/>
  <c r="J971" i="51"/>
  <c r="M971" i="51" s="1"/>
  <c r="J418" i="51"/>
  <c r="O596" i="51"/>
  <c r="U18" i="51"/>
  <c r="U17" i="51" s="1"/>
  <c r="U16" i="51" s="1"/>
  <c r="N473" i="51"/>
  <c r="P473" i="51" s="1"/>
  <c r="R473" i="51" s="1"/>
  <c r="T434" i="51"/>
  <c r="T433" i="51" s="1"/>
  <c r="T432" i="51" s="1"/>
  <c r="T431" i="51" s="1"/>
  <c r="Q542" i="51"/>
  <c r="S542" i="51" s="1"/>
  <c r="Q557" i="51"/>
  <c r="S557" i="51" s="1"/>
  <c r="Q548" i="51"/>
  <c r="S548" i="51" s="1"/>
  <c r="U548" i="51" s="1"/>
  <c r="W548" i="51" s="1"/>
  <c r="Y548" i="51" s="1"/>
  <c r="Q631" i="51"/>
  <c r="S631" i="51" s="1"/>
  <c r="Q678" i="51"/>
  <c r="S678" i="51" s="1"/>
  <c r="O676" i="51"/>
  <c r="M676" i="51"/>
  <c r="J667" i="51"/>
  <c r="J666" i="51" s="1"/>
  <c r="J454" i="51"/>
  <c r="J453" i="51" s="1"/>
  <c r="N677" i="51"/>
  <c r="P677" i="51" s="1"/>
  <c r="J967" i="51"/>
  <c r="M967" i="51" s="1"/>
  <c r="S463" i="51"/>
  <c r="S462" i="51" s="1"/>
  <c r="H601" i="51"/>
  <c r="I601" i="51"/>
  <c r="J689" i="51"/>
  <c r="N670" i="51"/>
  <c r="N663" i="51" s="1"/>
  <c r="Q727" i="51"/>
  <c r="J753" i="51"/>
  <c r="K727" i="51"/>
  <c r="R765" i="51"/>
  <c r="R764" i="51" s="1"/>
  <c r="J779" i="51"/>
  <c r="I858" i="51"/>
  <c r="I857" i="51" s="1"/>
  <c r="I852" i="51" s="1"/>
  <c r="Z314" i="51"/>
  <c r="Z313" i="51" s="1"/>
  <c r="Z312" i="51" s="1"/>
  <c r="Q473" i="51"/>
  <c r="S473" i="51" s="1"/>
  <c r="U473" i="51" s="1"/>
  <c r="W473" i="51" s="1"/>
  <c r="Y473" i="51" s="1"/>
  <c r="N511" i="51"/>
  <c r="P511" i="51" s="1"/>
  <c r="K990" i="51"/>
  <c r="T757" i="51"/>
  <c r="T756" i="51" s="1"/>
  <c r="K884" i="51"/>
  <c r="N884" i="51" s="1"/>
  <c r="T448" i="51"/>
  <c r="U448" i="51" s="1"/>
  <c r="J1021" i="51"/>
  <c r="M1021" i="51" s="1"/>
  <c r="T447" i="51"/>
  <c r="T446" i="51" s="1"/>
  <c r="M620" i="51"/>
  <c r="M619" i="51" s="1"/>
  <c r="V596" i="51"/>
  <c r="J998" i="51"/>
  <c r="M998" i="51" s="1"/>
  <c r="J1006" i="51"/>
  <c r="L1006" i="51" s="1"/>
  <c r="J748" i="51"/>
  <c r="J743" i="51" s="1"/>
  <c r="Q341" i="51"/>
  <c r="Q544" i="51"/>
  <c r="H414" i="51"/>
  <c r="M543" i="51"/>
  <c r="Q540" i="51"/>
  <c r="S540" i="51" s="1"/>
  <c r="J979" i="51"/>
  <c r="L979" i="51" s="1"/>
  <c r="N979" i="51" s="1"/>
  <c r="P37" i="51"/>
  <c r="P36" i="51" s="1"/>
  <c r="Q670" i="51"/>
  <c r="Q663" i="51" s="1"/>
  <c r="R696" i="51"/>
  <c r="S696" i="51" s="1"/>
  <c r="T696" i="51" s="1"/>
  <c r="J769" i="51"/>
  <c r="K858" i="51"/>
  <c r="K857" i="51" s="1"/>
  <c r="K852" i="51" s="1"/>
  <c r="W38" i="51"/>
  <c r="W37" i="51" s="1"/>
  <c r="Y38" i="51"/>
  <c r="Y37" i="51" s="1"/>
  <c r="C49" i="15" s="1"/>
  <c r="T867" i="51"/>
  <c r="U867" i="51" s="1"/>
  <c r="R594" i="51"/>
  <c r="S594" i="51" s="1"/>
  <c r="T594" i="51" s="1"/>
  <c r="U594" i="51" s="1"/>
  <c r="R596" i="51"/>
  <c r="T797" i="51"/>
  <c r="T795" i="51" s="1"/>
  <c r="U813" i="51"/>
  <c r="V813" i="51" s="1"/>
  <c r="W813" i="51" s="1"/>
  <c r="N684" i="51"/>
  <c r="P684" i="51" s="1"/>
  <c r="N852" i="51"/>
  <c r="T106" i="51"/>
  <c r="J960" i="51"/>
  <c r="M960" i="51" s="1"/>
  <c r="J936" i="51"/>
  <c r="L936" i="51" s="1"/>
  <c r="J1018" i="51"/>
  <c r="M1018" i="51" s="1"/>
  <c r="K886" i="51"/>
  <c r="M886" i="51" s="1"/>
  <c r="K944" i="51"/>
  <c r="M944" i="51" s="1"/>
  <c r="L740" i="51"/>
  <c r="N740" i="51" s="1"/>
  <c r="L545" i="51"/>
  <c r="N545" i="51" s="1"/>
  <c r="P545" i="51" s="1"/>
  <c r="R545" i="51" s="1"/>
  <c r="T545" i="51" s="1"/>
  <c r="J597" i="51"/>
  <c r="K901" i="51"/>
  <c r="M901" i="51" s="1"/>
  <c r="Q369" i="51"/>
  <c r="S369" i="51" s="1"/>
  <c r="U369" i="51" s="1"/>
  <c r="W369" i="51" s="1"/>
  <c r="Y369" i="51" s="1"/>
  <c r="J93" i="51"/>
  <c r="J68" i="51" s="1"/>
  <c r="J924" i="51"/>
  <c r="L924" i="51" s="1"/>
  <c r="J451" i="51"/>
  <c r="J492" i="51"/>
  <c r="J491" i="51" s="1"/>
  <c r="H37" i="51"/>
  <c r="H36" i="51" s="1"/>
  <c r="M38" i="51"/>
  <c r="M37" i="51" s="1"/>
  <c r="M36" i="51" s="1"/>
  <c r="J56" i="51"/>
  <c r="O57" i="51"/>
  <c r="O56" i="51" s="1"/>
  <c r="O281" i="51"/>
  <c r="J750" i="51"/>
  <c r="P727" i="51"/>
  <c r="Q768" i="51"/>
  <c r="S299" i="51"/>
  <c r="S285" i="51" s="1"/>
  <c r="S280" i="51" s="1"/>
  <c r="S255" i="51" s="1"/>
  <c r="S512" i="51"/>
  <c r="S505" i="51" s="1"/>
  <c r="Q735" i="51"/>
  <c r="J956" i="51"/>
  <c r="M956" i="51" s="1"/>
  <c r="J681" i="51"/>
  <c r="H768" i="51"/>
  <c r="J987" i="51"/>
  <c r="M987" i="51" s="1"/>
  <c r="K905" i="51"/>
  <c r="M905" i="51" s="1"/>
  <c r="O905" i="51" s="1"/>
  <c r="K414" i="51"/>
  <c r="P414" i="51"/>
  <c r="T512" i="51"/>
  <c r="T505" i="51" s="1"/>
  <c r="S852" i="51"/>
  <c r="U219" i="51"/>
  <c r="W31" i="51"/>
  <c r="S339" i="51"/>
  <c r="U339" i="51" s="1"/>
  <c r="L454" i="51"/>
  <c r="L453" i="51" s="1"/>
  <c r="J952" i="51"/>
  <c r="M952" i="51" s="1"/>
  <c r="L1025" i="51"/>
  <c r="L1029" i="51"/>
  <c r="K940" i="51"/>
  <c r="M940" i="51" s="1"/>
  <c r="O620" i="51"/>
  <c r="O619" i="51" s="1"/>
  <c r="N541" i="51"/>
  <c r="P541" i="51" s="1"/>
  <c r="R541" i="51" s="1"/>
  <c r="K375" i="51"/>
  <c r="K1025" i="51"/>
  <c r="J893" i="51"/>
  <c r="L893" i="51" s="1"/>
  <c r="N893" i="51" s="1"/>
  <c r="J383" i="51"/>
  <c r="L383" i="51" s="1"/>
  <c r="M647" i="51"/>
  <c r="O647" i="51" s="1"/>
  <c r="N735" i="51"/>
  <c r="N734" i="51" s="1"/>
  <c r="K1029" i="51"/>
  <c r="M1029" i="51" s="1"/>
  <c r="T859" i="51"/>
  <c r="U859" i="51" s="1"/>
  <c r="V859" i="51" s="1"/>
  <c r="P531" i="51"/>
  <c r="J848" i="51"/>
  <c r="I847" i="51"/>
  <c r="N847" i="51"/>
  <c r="O847" i="51"/>
  <c r="M852" i="51"/>
  <c r="S31" i="51"/>
  <c r="S18" i="51"/>
  <c r="X285" i="51"/>
  <c r="X280" i="51" s="1"/>
  <c r="X255" i="51" s="1"/>
  <c r="L296" i="51"/>
  <c r="L280" i="51" s="1"/>
  <c r="L255" i="51" s="1"/>
  <c r="Q852" i="51"/>
  <c r="L911" i="51"/>
  <c r="N688" i="51"/>
  <c r="L687" i="51"/>
  <c r="Q730" i="51"/>
  <c r="Q729" i="51" s="1"/>
  <c r="Q728" i="51" s="1"/>
  <c r="O729" i="51"/>
  <c r="O728" i="51" s="1"/>
  <c r="L737" i="51"/>
  <c r="N738" i="51"/>
  <c r="L1019" i="51"/>
  <c r="Z629" i="51"/>
  <c r="J978" i="51"/>
  <c r="L978" i="51" s="1"/>
  <c r="J966" i="51"/>
  <c r="M966" i="51" s="1"/>
  <c r="N623" i="51"/>
  <c r="P623" i="51" s="1"/>
  <c r="J737" i="51"/>
  <c r="J736" i="51" s="1"/>
  <c r="L680" i="51"/>
  <c r="L679" i="51" s="1"/>
  <c r="P536" i="51"/>
  <c r="R536" i="51" s="1"/>
  <c r="T536" i="51" s="1"/>
  <c r="O258" i="51"/>
  <c r="L932" i="51"/>
  <c r="J1005" i="51"/>
  <c r="M1005" i="51" s="1"/>
  <c r="N733" i="51"/>
  <c r="N14" i="51"/>
  <c r="K997" i="51"/>
  <c r="M997" i="51" s="1"/>
  <c r="J732" i="51"/>
  <c r="J1015" i="51"/>
  <c r="L1015" i="51" s="1"/>
  <c r="N1015" i="51" s="1"/>
  <c r="M483" i="51"/>
  <c r="O299" i="51"/>
  <c r="L414" i="51"/>
  <c r="N601" i="51"/>
  <c r="M727" i="51"/>
  <c r="L727" i="51"/>
  <c r="G726" i="51"/>
  <c r="L794" i="51"/>
  <c r="Q794" i="51"/>
  <c r="Q793" i="51" s="1"/>
  <c r="K847" i="51"/>
  <c r="P847" i="51"/>
  <c r="J873" i="51"/>
  <c r="J872" i="51" s="1"/>
  <c r="O873" i="51"/>
  <c r="O872" i="51" s="1"/>
  <c r="G1075" i="51"/>
  <c r="G1076" i="51" s="1"/>
  <c r="O97" i="51"/>
  <c r="O96" i="51" s="1"/>
  <c r="O95" i="51" s="1"/>
  <c r="L668" i="51"/>
  <c r="S484" i="51"/>
  <c r="U484" i="51" s="1"/>
  <c r="P277" i="51"/>
  <c r="R277" i="51" s="1"/>
  <c r="T277" i="51" s="1"/>
  <c r="V277" i="51" s="1"/>
  <c r="J1012" i="51"/>
  <c r="L1012" i="51" s="1"/>
  <c r="J974" i="51"/>
  <c r="M974" i="51" s="1"/>
  <c r="M729" i="51"/>
  <c r="M728" i="51" s="1"/>
  <c r="M554" i="51"/>
  <c r="N538" i="51"/>
  <c r="P538" i="51" s="1"/>
  <c r="N618" i="51"/>
  <c r="O483" i="51"/>
  <c r="L686" i="51"/>
  <c r="N686" i="51" s="1"/>
  <c r="P686" i="51" s="1"/>
  <c r="M524" i="51"/>
  <c r="O523" i="51"/>
  <c r="O522" i="51" s="1"/>
  <c r="O521" i="51" s="1"/>
  <c r="T697" i="51"/>
  <c r="U697" i="51" s="1"/>
  <c r="V697" i="51" s="1"/>
  <c r="L1001" i="51"/>
  <c r="J943" i="51"/>
  <c r="L943" i="51" s="1"/>
  <c r="N943" i="51" s="1"/>
  <c r="S767" i="51"/>
  <c r="S765" i="51" s="1"/>
  <c r="S764" i="51" s="1"/>
  <c r="I809" i="51"/>
  <c r="J809" i="51" s="1"/>
  <c r="T777" i="51"/>
  <c r="J989" i="51"/>
  <c r="L989" i="51" s="1"/>
  <c r="L606" i="51"/>
  <c r="L605" i="51" s="1"/>
  <c r="I245" i="51"/>
  <c r="N245" i="51"/>
  <c r="P335" i="51"/>
  <c r="O566" i="51"/>
  <c r="Q596" i="51"/>
  <c r="O689" i="51"/>
  <c r="M670" i="51"/>
  <c r="M663" i="51" s="1"/>
  <c r="Y468" i="51"/>
  <c r="C11" i="15" s="1"/>
  <c r="P669" i="51"/>
  <c r="P668" i="51" s="1"/>
  <c r="O524" i="51"/>
  <c r="R475" i="51"/>
  <c r="T475" i="51" s="1"/>
  <c r="V475" i="51" s="1"/>
  <c r="U811" i="51"/>
  <c r="V811" i="51" s="1"/>
  <c r="W811" i="51" s="1"/>
  <c r="Y811" i="51" s="1"/>
  <c r="Z811" i="51" s="1"/>
  <c r="V526" i="51"/>
  <c r="V520" i="51" s="1"/>
  <c r="Q539" i="51"/>
  <c r="S539" i="51" s="1"/>
  <c r="Q556" i="51"/>
  <c r="S556" i="51" s="1"/>
  <c r="U556" i="51" s="1"/>
  <c r="J668" i="51"/>
  <c r="J951" i="51"/>
  <c r="M951" i="51" s="1"/>
  <c r="K932" i="51"/>
  <c r="M932" i="51" s="1"/>
  <c r="R798" i="51"/>
  <c r="Q342" i="51"/>
  <c r="S342" i="51" s="1"/>
  <c r="M300" i="51"/>
  <c r="J916" i="51"/>
  <c r="L916" i="51" s="1"/>
  <c r="J299" i="51"/>
  <c r="K1001" i="51"/>
  <c r="T659" i="51"/>
  <c r="U659" i="51" s="1"/>
  <c r="R299" i="51"/>
  <c r="L335" i="51"/>
  <c r="M768" i="51"/>
  <c r="Z864" i="51"/>
  <c r="Z221" i="51"/>
  <c r="N15" i="51"/>
  <c r="Z26" i="51"/>
  <c r="O536" i="51"/>
  <c r="Q536" i="51" s="1"/>
  <c r="L542" i="51"/>
  <c r="N542" i="51" s="1"/>
  <c r="K1023" i="51"/>
  <c r="J1023" i="51"/>
  <c r="L1023" i="51" s="1"/>
  <c r="K1031" i="51"/>
  <c r="J1031" i="51"/>
  <c r="L1031" i="51" s="1"/>
  <c r="H727" i="51"/>
  <c r="R204" i="51"/>
  <c r="P161" i="51"/>
  <c r="P160" i="51" s="1"/>
  <c r="L451" i="51"/>
  <c r="N452" i="51"/>
  <c r="O471" i="51"/>
  <c r="Q471" i="51" s="1"/>
  <c r="S471" i="51" s="1"/>
  <c r="O475" i="51"/>
  <c r="Q475" i="51" s="1"/>
  <c r="L509" i="51"/>
  <c r="N509" i="51" s="1"/>
  <c r="P509" i="51" s="1"/>
  <c r="R509" i="51" s="1"/>
  <c r="T509" i="51" s="1"/>
  <c r="V509" i="51" s="1"/>
  <c r="X509" i="51" s="1"/>
  <c r="Z509" i="51" s="1"/>
  <c r="J506" i="51"/>
  <c r="O562" i="51"/>
  <c r="Q562" i="51" s="1"/>
  <c r="S562" i="51" s="1"/>
  <c r="U562" i="51" s="1"/>
  <c r="W562" i="51" s="1"/>
  <c r="Y562" i="51" s="1"/>
  <c r="M559" i="51"/>
  <c r="M558" i="51" s="1"/>
  <c r="X575" i="51"/>
  <c r="X566" i="51" s="1"/>
  <c r="V566" i="51"/>
  <c r="V531" i="51" s="1"/>
  <c r="L622" i="51"/>
  <c r="N622" i="51" s="1"/>
  <c r="P622" i="51" s="1"/>
  <c r="J620" i="51"/>
  <c r="J619" i="51" s="1"/>
  <c r="L629" i="51"/>
  <c r="N629" i="51" s="1"/>
  <c r="P629" i="51" s="1"/>
  <c r="S653" i="51"/>
  <c r="T653" i="51" s="1"/>
  <c r="J700" i="51"/>
  <c r="J699" i="51" s="1"/>
  <c r="I699" i="51"/>
  <c r="J721" i="51"/>
  <c r="H721" i="51"/>
  <c r="H663" i="51" s="1"/>
  <c r="J991" i="51"/>
  <c r="L991" i="51" s="1"/>
  <c r="K991" i="51"/>
  <c r="K1014" i="51"/>
  <c r="J1014" i="51"/>
  <c r="L1014" i="51" s="1"/>
  <c r="J1017" i="51"/>
  <c r="K1017" i="51"/>
  <c r="N540" i="51"/>
  <c r="P540" i="51" s="1"/>
  <c r="R540" i="51" s="1"/>
  <c r="L544" i="51"/>
  <c r="J543" i="51"/>
  <c r="K1027" i="51"/>
  <c r="J1027" i="51"/>
  <c r="L552" i="51"/>
  <c r="N552" i="51" s="1"/>
  <c r="P552" i="51" s="1"/>
  <c r="R552" i="51" s="1"/>
  <c r="T552" i="51" s="1"/>
  <c r="V552" i="51" s="1"/>
  <c r="X552" i="51" s="1"/>
  <c r="Z552" i="51" s="1"/>
  <c r="J550" i="51"/>
  <c r="J549" i="51" s="1"/>
  <c r="J912" i="51"/>
  <c r="L912" i="51" s="1"/>
  <c r="J915" i="51"/>
  <c r="K915" i="51"/>
  <c r="J919" i="51"/>
  <c r="L919" i="51" s="1"/>
  <c r="N919" i="51" s="1"/>
  <c r="K923" i="51"/>
  <c r="J923" i="51"/>
  <c r="L923" i="51" s="1"/>
  <c r="J931" i="51"/>
  <c r="L931" i="51" s="1"/>
  <c r="K931" i="51"/>
  <c r="K939" i="51"/>
  <c r="J939" i="51"/>
  <c r="L939" i="51" s="1"/>
  <c r="K946" i="51"/>
  <c r="J946" i="51"/>
  <c r="L946" i="51" s="1"/>
  <c r="K950" i="51"/>
  <c r="J950" i="51"/>
  <c r="L950" i="51" s="1"/>
  <c r="K954" i="51"/>
  <c r="J954" i="51"/>
  <c r="K958" i="51"/>
  <c r="J958" i="51"/>
  <c r="K962" i="51"/>
  <c r="J962" i="51"/>
  <c r="L962" i="51" s="1"/>
  <c r="K969" i="51"/>
  <c r="J969" i="51"/>
  <c r="K973" i="51"/>
  <c r="J973" i="51"/>
  <c r="L973" i="51" s="1"/>
  <c r="K977" i="51"/>
  <c r="J977" i="51"/>
  <c r="L977" i="51" s="1"/>
  <c r="J981" i="51"/>
  <c r="L981" i="51" s="1"/>
  <c r="K981" i="51"/>
  <c r="T527" i="51"/>
  <c r="T526" i="51" s="1"/>
  <c r="T520" i="51" s="1"/>
  <c r="R526" i="51"/>
  <c r="R520" i="51" s="1"/>
  <c r="O534" i="51"/>
  <c r="Q534" i="51" s="1"/>
  <c r="L546" i="51"/>
  <c r="N546" i="51" s="1"/>
  <c r="P546" i="51" s="1"/>
  <c r="K1020" i="51"/>
  <c r="J1020" i="51"/>
  <c r="L1020" i="51" s="1"/>
  <c r="L886" i="51"/>
  <c r="J463" i="51"/>
  <c r="I462" i="51"/>
  <c r="I450" i="51" s="1"/>
  <c r="I445" i="51" s="1"/>
  <c r="T770" i="51"/>
  <c r="T769" i="51" s="1"/>
  <c r="R769" i="51"/>
  <c r="J880" i="51"/>
  <c r="L880" i="51" s="1"/>
  <c r="K880" i="51"/>
  <c r="J890" i="51"/>
  <c r="L890" i="51" s="1"/>
  <c r="K890" i="51"/>
  <c r="J894" i="51"/>
  <c r="L894" i="51" s="1"/>
  <c r="K894" i="51"/>
  <c r="K902" i="51"/>
  <c r="J902" i="51"/>
  <c r="L902" i="51" s="1"/>
  <c r="J906" i="51"/>
  <c r="L906" i="51" s="1"/>
  <c r="K906" i="51"/>
  <c r="J910" i="51"/>
  <c r="K910" i="51"/>
  <c r="S14" i="51"/>
  <c r="O13" i="51"/>
  <c r="O12" i="51" s="1"/>
  <c r="O11" i="51" s="1"/>
  <c r="R350" i="51"/>
  <c r="O350" i="51"/>
  <c r="O336" i="51" s="1"/>
  <c r="Q336" i="51"/>
  <c r="Q335" i="51" s="1"/>
  <c r="K381" i="51"/>
  <c r="M381" i="51" s="1"/>
  <c r="L384" i="51"/>
  <c r="N384" i="51" s="1"/>
  <c r="P384" i="51" s="1"/>
  <c r="O415" i="51"/>
  <c r="O450" i="51"/>
  <c r="N450" i="51"/>
  <c r="N445" i="51" s="1"/>
  <c r="N427" i="51" s="1"/>
  <c r="L472" i="51"/>
  <c r="K474" i="51"/>
  <c r="M474" i="51" s="1"/>
  <c r="O474" i="51" s="1"/>
  <c r="Q474" i="51" s="1"/>
  <c r="J474" i="51"/>
  <c r="L474" i="51" s="1"/>
  <c r="K476" i="51"/>
  <c r="J476" i="51"/>
  <c r="L476" i="51" s="1"/>
  <c r="N476" i="51" s="1"/>
  <c r="J485" i="51"/>
  <c r="L548" i="51"/>
  <c r="R577" i="51"/>
  <c r="T578" i="51"/>
  <c r="T577" i="51" s="1"/>
  <c r="H596" i="51"/>
  <c r="J599" i="51"/>
  <c r="J596" i="51" s="1"/>
  <c r="O750" i="51"/>
  <c r="O727" i="51" s="1"/>
  <c r="T752" i="51"/>
  <c r="T750" i="51" s="1"/>
  <c r="R750" i="51"/>
  <c r="J895" i="51"/>
  <c r="L895" i="51" s="1"/>
  <c r="K895" i="51"/>
  <c r="J920" i="51"/>
  <c r="L920" i="51" s="1"/>
  <c r="N920" i="51" s="1"/>
  <c r="J928" i="51"/>
  <c r="L928" i="51" s="1"/>
  <c r="K928" i="51"/>
  <c r="K947" i="51"/>
  <c r="J947" i="51"/>
  <c r="L947" i="51" s="1"/>
  <c r="K955" i="51"/>
  <c r="L955" i="51"/>
  <c r="S566" i="51"/>
  <c r="S531" i="51" s="1"/>
  <c r="L907" i="51"/>
  <c r="N534" i="51"/>
  <c r="P534" i="51" s="1"/>
  <c r="R534" i="51" s="1"/>
  <c r="L128" i="51"/>
  <c r="J127" i="51"/>
  <c r="J126" i="51" s="1"/>
  <c r="J125" i="51" s="1"/>
  <c r="J124" i="51" s="1"/>
  <c r="N372" i="51"/>
  <c r="P372" i="51" s="1"/>
  <c r="K450" i="51"/>
  <c r="K445" i="51" s="1"/>
  <c r="K427" i="51" s="1"/>
  <c r="M470" i="51"/>
  <c r="M469" i="51" s="1"/>
  <c r="R694" i="51"/>
  <c r="S695" i="51"/>
  <c r="T695" i="51" s="1"/>
  <c r="T694" i="51" s="1"/>
  <c r="K736" i="51"/>
  <c r="L820" i="51"/>
  <c r="N820" i="51" s="1"/>
  <c r="M820" i="51"/>
  <c r="L823" i="51"/>
  <c r="N823" i="51" s="1"/>
  <c r="M823" i="51"/>
  <c r="S727" i="51"/>
  <c r="X845" i="51"/>
  <c r="X844" i="51" s="1"/>
  <c r="X843" i="51" s="1"/>
  <c r="V844" i="51"/>
  <c r="V843" i="51" s="1"/>
  <c r="O120" i="51"/>
  <c r="O119" i="51" s="1"/>
  <c r="O116" i="51" s="1"/>
  <c r="O115" i="51" s="1"/>
  <c r="O114" i="51" s="1"/>
  <c r="M119" i="51"/>
  <c r="M116" i="51" s="1"/>
  <c r="M115" i="51" s="1"/>
  <c r="M114" i="51" s="1"/>
  <c r="O773" i="51"/>
  <c r="O768" i="51" s="1"/>
  <c r="K768" i="51"/>
  <c r="P768" i="51"/>
  <c r="K794" i="51"/>
  <c r="P794" i="51"/>
  <c r="P793" i="51" s="1"/>
  <c r="J879" i="51"/>
  <c r="K879" i="51"/>
  <c r="J883" i="51"/>
  <c r="L883" i="51" s="1"/>
  <c r="K883" i="51"/>
  <c r="J897" i="51"/>
  <c r="L897" i="51" s="1"/>
  <c r="K897" i="51"/>
  <c r="L901" i="51"/>
  <c r="K909" i="51"/>
  <c r="J909" i="51"/>
  <c r="J945" i="51"/>
  <c r="M945" i="51" s="1"/>
  <c r="K957" i="51"/>
  <c r="M957" i="51" s="1"/>
  <c r="L957" i="51"/>
  <c r="K965" i="51"/>
  <c r="J965" i="51"/>
  <c r="K968" i="51"/>
  <c r="J968" i="51"/>
  <c r="K972" i="51"/>
  <c r="M972" i="51" s="1"/>
  <c r="L972" i="51"/>
  <c r="K976" i="51"/>
  <c r="J976" i="51"/>
  <c r="K980" i="51"/>
  <c r="J980" i="51"/>
  <c r="K1002" i="51"/>
  <c r="J1002" i="51"/>
  <c r="J1009" i="51"/>
  <c r="L1009" i="51" s="1"/>
  <c r="K1009" i="51"/>
  <c r="J1013" i="51"/>
  <c r="K1013" i="51"/>
  <c r="T208" i="51"/>
  <c r="T207" i="51" s="1"/>
  <c r="R207" i="51"/>
  <c r="U596" i="51"/>
  <c r="Z415" i="51"/>
  <c r="R31" i="51"/>
  <c r="G37" i="51"/>
  <c r="G36" i="51" s="1"/>
  <c r="O69" i="51"/>
  <c r="O65" i="51" s="1"/>
  <c r="Q161" i="51"/>
  <c r="Q160" i="51" s="1"/>
  <c r="J246" i="51"/>
  <c r="J250" i="51"/>
  <c r="R415" i="51"/>
  <c r="M414" i="51"/>
  <c r="O418" i="51"/>
  <c r="O512" i="51"/>
  <c r="O505" i="51" s="1"/>
  <c r="G531" i="51"/>
  <c r="G519" i="51" s="1"/>
  <c r="N531" i="51"/>
  <c r="P596" i="51"/>
  <c r="T701" i="51"/>
  <c r="M822" i="51"/>
  <c r="J854" i="51"/>
  <c r="J866" i="51"/>
  <c r="S56" i="51"/>
  <c r="J69" i="51"/>
  <c r="T299" i="51"/>
  <c r="J526" i="51"/>
  <c r="J520" i="51" s="1"/>
  <c r="O699" i="51"/>
  <c r="O721" i="51"/>
  <c r="R873" i="51"/>
  <c r="R872" i="51" s="1"/>
  <c r="S106" i="51"/>
  <c r="T421" i="51"/>
  <c r="T414" i="51" s="1"/>
  <c r="S26" i="51"/>
  <c r="S231" i="51"/>
  <c r="W350" i="51"/>
  <c r="W336" i="51" s="1"/>
  <c r="Z418" i="51"/>
  <c r="T221" i="51"/>
  <c r="T219" i="51" s="1"/>
  <c r="L120" i="51"/>
  <c r="J119" i="51"/>
  <c r="J116" i="51" s="1"/>
  <c r="J115" i="51" s="1"/>
  <c r="J114" i="51" s="1"/>
  <c r="L388" i="51"/>
  <c r="N388" i="51" s="1"/>
  <c r="P388" i="51" s="1"/>
  <c r="R388" i="51" s="1"/>
  <c r="T388" i="51" s="1"/>
  <c r="V388" i="51" s="1"/>
  <c r="X388" i="51" s="1"/>
  <c r="Z388" i="51" s="1"/>
  <c r="J387" i="51"/>
  <c r="J386" i="51" s="1"/>
  <c r="J385" i="51" s="1"/>
  <c r="Q14" i="51"/>
  <c r="U14" i="51" s="1"/>
  <c r="M13" i="51"/>
  <c r="M12" i="51" s="1"/>
  <c r="M11" i="51" s="1"/>
  <c r="M263" i="51"/>
  <c r="O264" i="51"/>
  <c r="O263" i="51" s="1"/>
  <c r="T315" i="51"/>
  <c r="T314" i="51" s="1"/>
  <c r="T313" i="51" s="1"/>
  <c r="T312" i="51" s="1"/>
  <c r="R314" i="51"/>
  <c r="R313" i="51" s="1"/>
  <c r="R312" i="51" s="1"/>
  <c r="L346" i="51"/>
  <c r="J345" i="51"/>
  <c r="J344" i="51" s="1"/>
  <c r="J343" i="51" s="1"/>
  <c r="H335" i="51"/>
  <c r="Q388" i="51"/>
  <c r="S388" i="51" s="1"/>
  <c r="O387" i="51"/>
  <c r="O386" i="51" s="1"/>
  <c r="O385" i="51" s="1"/>
  <c r="M335" i="51"/>
  <c r="R753" i="51"/>
  <c r="T754" i="51"/>
  <c r="T753" i="51" s="1"/>
  <c r="I727" i="51"/>
  <c r="J759" i="51"/>
  <c r="S763" i="51"/>
  <c r="T763" i="51" s="1"/>
  <c r="S798" i="51"/>
  <c r="T799" i="51"/>
  <c r="J927" i="51"/>
  <c r="L927" i="51" s="1"/>
  <c r="N927" i="51" s="1"/>
  <c r="J935" i="51"/>
  <c r="L935" i="51" s="1"/>
  <c r="K935" i="51"/>
  <c r="S373" i="51"/>
  <c r="U373" i="51" s="1"/>
  <c r="M231" i="51"/>
  <c r="M219" i="51" s="1"/>
  <c r="M218" i="51" s="1"/>
  <c r="O232" i="51"/>
  <c r="O231" i="51" s="1"/>
  <c r="R246" i="51"/>
  <c r="J314" i="51"/>
  <c r="J313" i="51" s="1"/>
  <c r="J312" i="51" s="1"/>
  <c r="O394" i="51"/>
  <c r="I335" i="51"/>
  <c r="J441" i="51"/>
  <c r="I440" i="51"/>
  <c r="O481" i="51"/>
  <c r="M480" i="51"/>
  <c r="J483" i="51"/>
  <c r="L484" i="51"/>
  <c r="N484" i="51" s="1"/>
  <c r="O489" i="51"/>
  <c r="Q489" i="51" s="1"/>
  <c r="S489" i="51" s="1"/>
  <c r="U489" i="51" s="1"/>
  <c r="W489" i="51" s="1"/>
  <c r="Y489" i="51" s="1"/>
  <c r="M485" i="51"/>
  <c r="O546" i="51"/>
  <c r="Z94" i="51"/>
  <c r="Z93" i="51" s="1"/>
  <c r="R762" i="51"/>
  <c r="S762" i="51" s="1"/>
  <c r="T762" i="51" s="1"/>
  <c r="T555" i="51"/>
  <c r="V555" i="51" s="1"/>
  <c r="S686" i="51"/>
  <c r="U686" i="51" s="1"/>
  <c r="K376" i="51"/>
  <c r="M376" i="51" s="1"/>
  <c r="J376" i="51"/>
  <c r="O731" i="51"/>
  <c r="O131" i="51"/>
  <c r="O130" i="51" s="1"/>
  <c r="O204" i="51"/>
  <c r="O161" i="51" s="1"/>
  <c r="O160" i="51" s="1"/>
  <c r="J221" i="51"/>
  <c r="K262" i="51"/>
  <c r="O858" i="51"/>
  <c r="O857" i="51" s="1"/>
  <c r="O852" i="51" s="1"/>
  <c r="U299" i="51"/>
  <c r="U285" i="51" s="1"/>
  <c r="U280" i="51" s="1"/>
  <c r="U255" i="51" s="1"/>
  <c r="J131" i="51"/>
  <c r="J130" i="51" s="1"/>
  <c r="H219" i="51"/>
  <c r="H161" i="51" s="1"/>
  <c r="H160" i="51" s="1"/>
  <c r="N255" i="51"/>
  <c r="M387" i="51"/>
  <c r="M386" i="51" s="1"/>
  <c r="M385" i="51" s="1"/>
  <c r="X805" i="51"/>
  <c r="Z806" i="51"/>
  <c r="V280" i="51"/>
  <c r="V255" i="51" s="1"/>
  <c r="V219" i="51"/>
  <c r="R221" i="51"/>
  <c r="G255" i="51"/>
  <c r="G129" i="51" s="1"/>
  <c r="G112" i="51" s="1"/>
  <c r="K335" i="51"/>
  <c r="N335" i="51"/>
  <c r="J350" i="51"/>
  <c r="J407" i="51"/>
  <c r="J406" i="51" s="1"/>
  <c r="L670" i="51"/>
  <c r="L663" i="51" s="1"/>
  <c r="W727" i="51"/>
  <c r="K482" i="51"/>
  <c r="L468" i="51"/>
  <c r="L467" i="51" s="1"/>
  <c r="L466" i="51" s="1"/>
  <c r="Q468" i="51"/>
  <c r="Q467" i="51" s="1"/>
  <c r="Q466" i="51" s="1"/>
  <c r="O495" i="51"/>
  <c r="R512" i="51"/>
  <c r="R505" i="51" s="1"/>
  <c r="L566" i="51"/>
  <c r="H531" i="51"/>
  <c r="N596" i="51"/>
  <c r="J632" i="51"/>
  <c r="J654" i="51"/>
  <c r="R773" i="51"/>
  <c r="R809" i="51"/>
  <c r="R804" i="51" s="1"/>
  <c r="R803" i="51" s="1"/>
  <c r="J421" i="51"/>
  <c r="T44" i="51"/>
  <c r="T38" i="51" s="1"/>
  <c r="U414" i="51"/>
  <c r="V38" i="51"/>
  <c r="W596" i="51"/>
  <c r="W285" i="51"/>
  <c r="W280" i="51" s="1"/>
  <c r="W255" i="51" s="1"/>
  <c r="Z721" i="51"/>
  <c r="D26" i="15" s="1"/>
  <c r="H468" i="51"/>
  <c r="H467" i="51" s="1"/>
  <c r="H466" i="51" s="1"/>
  <c r="M468" i="51"/>
  <c r="M467" i="51" s="1"/>
  <c r="M466" i="51" s="1"/>
  <c r="W219" i="51"/>
  <c r="W414" i="51"/>
  <c r="W17" i="51"/>
  <c r="W16" i="51" s="1"/>
  <c r="Y414" i="51"/>
  <c r="J459" i="51"/>
  <c r="K670" i="51"/>
  <c r="K663" i="51" s="1"/>
  <c r="P670" i="51"/>
  <c r="P663" i="51" s="1"/>
  <c r="N794" i="51"/>
  <c r="N793" i="51" s="1"/>
  <c r="H794" i="51"/>
  <c r="H793" i="51" s="1"/>
  <c r="J805" i="51"/>
  <c r="L847" i="51"/>
  <c r="Q847" i="51"/>
  <c r="R866" i="51"/>
  <c r="S866" i="51" s="1"/>
  <c r="T866" i="51" s="1"/>
  <c r="T831" i="51"/>
  <c r="T837" i="51"/>
  <c r="S804" i="51"/>
  <c r="S803" i="51" s="1"/>
  <c r="V62" i="51"/>
  <c r="V56" i="51" s="1"/>
  <c r="V17" i="51"/>
  <c r="V16" i="51" s="1"/>
  <c r="S365" i="51"/>
  <c r="U106" i="51"/>
  <c r="W531" i="51"/>
  <c r="R26" i="51"/>
  <c r="R17" i="51" s="1"/>
  <c r="R16" i="51" s="1"/>
  <c r="T154" i="51"/>
  <c r="Z101" i="51"/>
  <c r="Z100" i="51" s="1"/>
  <c r="J207" i="51"/>
  <c r="V31" i="51"/>
  <c r="S278" i="51"/>
  <c r="U278" i="51" s="1"/>
  <c r="W278" i="51" s="1"/>
  <c r="Y278" i="51" s="1"/>
  <c r="O296" i="51"/>
  <c r="P296" i="51"/>
  <c r="M280" i="51"/>
  <c r="M255" i="51" s="1"/>
  <c r="P377" i="51"/>
  <c r="R377" i="51" s="1"/>
  <c r="P341" i="51"/>
  <c r="R341" i="51" s="1"/>
  <c r="T341" i="51" s="1"/>
  <c r="T460" i="51"/>
  <c r="T459" i="51" s="1"/>
  <c r="J273" i="51"/>
  <c r="J272" i="51" s="1"/>
  <c r="Q279" i="51"/>
  <c r="S279" i="51" s="1"/>
  <c r="N278" i="51"/>
  <c r="P278" i="51" s="1"/>
  <c r="N275" i="51"/>
  <c r="P275" i="51" s="1"/>
  <c r="L273" i="51"/>
  <c r="L272" i="51" s="1"/>
  <c r="J394" i="51"/>
  <c r="J365" i="51" s="1"/>
  <c r="T350" i="51"/>
  <c r="R231" i="51"/>
  <c r="T438" i="51"/>
  <c r="U438" i="51" s="1"/>
  <c r="J432" i="51"/>
  <c r="J431" i="51" s="1"/>
  <c r="J428" i="51"/>
  <c r="X429" i="51"/>
  <c r="X428" i="51" s="1"/>
  <c r="J433" i="51"/>
  <c r="Y31" i="51"/>
  <c r="Z23" i="51"/>
  <c r="Z18" i="51" s="1"/>
  <c r="Z154" i="51"/>
  <c r="N367" i="56"/>
  <c r="D19" i="50" s="1"/>
  <c r="D18" i="50" s="1"/>
  <c r="N71" i="56"/>
  <c r="N70" i="56" s="1"/>
  <c r="K536" i="56"/>
  <c r="K627" i="56"/>
  <c r="L627" i="56" s="1"/>
  <c r="J601" i="56"/>
  <c r="N349" i="56"/>
  <c r="N360" i="56"/>
  <c r="J13" i="56"/>
  <c r="J12" i="56" s="1"/>
  <c r="J11" i="56" s="1"/>
  <c r="N369" i="56"/>
  <c r="M523" i="56"/>
  <c r="O523" i="56" s="1"/>
  <c r="N718" i="56"/>
  <c r="N143" i="56"/>
  <c r="N655" i="56"/>
  <c r="N361" i="56"/>
  <c r="N267" i="56"/>
  <c r="L141" i="56"/>
  <c r="J145" i="56"/>
  <c r="J144" i="56" s="1"/>
  <c r="J773" i="56"/>
  <c r="J772" i="56" s="1"/>
  <c r="N328" i="56"/>
  <c r="N371" i="56"/>
  <c r="N750" i="56"/>
  <c r="N545" i="56"/>
  <c r="N536" i="56" s="1"/>
  <c r="N590" i="56"/>
  <c r="N680" i="56"/>
  <c r="O680" i="56" s="1"/>
  <c r="O679" i="56" s="1"/>
  <c r="O670" i="56" s="1"/>
  <c r="K589" i="56"/>
  <c r="J513" i="56"/>
  <c r="N348" i="56"/>
  <c r="M37" i="56"/>
  <c r="M36" i="56" s="1"/>
  <c r="C49" i="50" s="1"/>
  <c r="M458" i="56"/>
  <c r="O458" i="56" s="1"/>
  <c r="N462" i="56"/>
  <c r="N461" i="56" s="1"/>
  <c r="N721" i="56"/>
  <c r="N810" i="56"/>
  <c r="N449" i="56"/>
  <c r="M449" i="56"/>
  <c r="O449" i="56" s="1"/>
  <c r="K835" i="56"/>
  <c r="L835" i="56" s="1"/>
  <c r="M835" i="56" s="1"/>
  <c r="L506" i="56"/>
  <c r="M506" i="56" s="1"/>
  <c r="O506" i="56" s="1"/>
  <c r="N748" i="56"/>
  <c r="O748" i="56" s="1"/>
  <c r="O747" i="56" s="1"/>
  <c r="K747" i="56"/>
  <c r="K842" i="56"/>
  <c r="L842" i="56" s="1"/>
  <c r="M842" i="56" s="1"/>
  <c r="N842" i="56" s="1"/>
  <c r="O842" i="56" s="1"/>
  <c r="K891" i="56"/>
  <c r="L891" i="56" s="1"/>
  <c r="M891" i="56" s="1"/>
  <c r="N891" i="56" s="1"/>
  <c r="O891" i="56" s="1"/>
  <c r="K869" i="56"/>
  <c r="L869" i="56" s="1"/>
  <c r="M869" i="56" s="1"/>
  <c r="N869" i="56" s="1"/>
  <c r="O869" i="56" s="1"/>
  <c r="K1000" i="56"/>
  <c r="L1000" i="56" s="1"/>
  <c r="M1000" i="56" s="1"/>
  <c r="K947" i="56"/>
  <c r="L947" i="56" s="1"/>
  <c r="M947" i="56" s="1"/>
  <c r="K913" i="56"/>
  <c r="L913" i="56" s="1"/>
  <c r="K962" i="56"/>
  <c r="L962" i="56" s="1"/>
  <c r="K909" i="56"/>
  <c r="L909" i="56" s="1"/>
  <c r="K952" i="56"/>
  <c r="L952" i="56" s="1"/>
  <c r="M952" i="56" s="1"/>
  <c r="N952" i="56" s="1"/>
  <c r="O952" i="56" s="1"/>
  <c r="K900" i="56"/>
  <c r="L900" i="56" s="1"/>
  <c r="M900" i="56" s="1"/>
  <c r="N900" i="56" s="1"/>
  <c r="O900" i="56" s="1"/>
  <c r="K865" i="56"/>
  <c r="L865" i="56" s="1"/>
  <c r="K882" i="56"/>
  <c r="L882" i="56" s="1"/>
  <c r="K968" i="56"/>
  <c r="L968" i="56" s="1"/>
  <c r="M968" i="56" s="1"/>
  <c r="N968" i="56" s="1"/>
  <c r="O968" i="56" s="1"/>
  <c r="K912" i="56"/>
  <c r="L912" i="56" s="1"/>
  <c r="K931" i="56"/>
  <c r="L931" i="56" s="1"/>
  <c r="M931" i="56" s="1"/>
  <c r="N931" i="56" s="1"/>
  <c r="O931" i="56" s="1"/>
  <c r="K868" i="56"/>
  <c r="L868" i="56" s="1"/>
  <c r="M868" i="56" s="1"/>
  <c r="N868" i="56" s="1"/>
  <c r="O868" i="56" s="1"/>
  <c r="L889" i="56"/>
  <c r="M889" i="56" s="1"/>
  <c r="N889" i="56" s="1"/>
  <c r="M103" i="56"/>
  <c r="O104" i="56"/>
  <c r="L716" i="56"/>
  <c r="M716" i="56" s="1"/>
  <c r="O716" i="56" s="1"/>
  <c r="L357" i="56"/>
  <c r="M357" i="56" s="1"/>
  <c r="O357" i="56" s="1"/>
  <c r="L359" i="56"/>
  <c r="M359" i="56" s="1"/>
  <c r="O359" i="56" s="1"/>
  <c r="J494" i="56"/>
  <c r="L495" i="56"/>
  <c r="J253" i="56"/>
  <c r="L254" i="56"/>
  <c r="L447" i="56"/>
  <c r="M447" i="56" s="1"/>
  <c r="O447" i="56" s="1"/>
  <c r="K669" i="56"/>
  <c r="L669" i="56" s="1"/>
  <c r="L796" i="56"/>
  <c r="J795" i="56"/>
  <c r="K846" i="56"/>
  <c r="L846" i="56" s="1"/>
  <c r="M106" i="56"/>
  <c r="M105" i="56" s="1"/>
  <c r="O107" i="56"/>
  <c r="K227" i="56"/>
  <c r="L227" i="56" s="1"/>
  <c r="M227" i="56" s="1"/>
  <c r="N227" i="56" s="1"/>
  <c r="O227" i="56" s="1"/>
  <c r="L446" i="56"/>
  <c r="M446" i="56" s="1"/>
  <c r="O446" i="56" s="1"/>
  <c r="L512" i="56"/>
  <c r="M512" i="56" s="1"/>
  <c r="O512" i="56" s="1"/>
  <c r="L493" i="56"/>
  <c r="N493" i="56" s="1"/>
  <c r="N492" i="56" s="1"/>
  <c r="N491" i="56" s="1"/>
  <c r="J492" i="56"/>
  <c r="J491" i="56" s="1"/>
  <c r="K777" i="56"/>
  <c r="L777" i="56" s="1"/>
  <c r="J465" i="56"/>
  <c r="J438" i="56" s="1"/>
  <c r="J437" i="56" s="1"/>
  <c r="J436" i="56" s="1"/>
  <c r="L473" i="56"/>
  <c r="L505" i="56"/>
  <c r="M505" i="56" s="1"/>
  <c r="J503" i="56"/>
  <c r="J502" i="56" s="1"/>
  <c r="L719" i="56"/>
  <c r="M720" i="56"/>
  <c r="O720" i="56" s="1"/>
  <c r="O719" i="56" s="1"/>
  <c r="O714" i="56" s="1"/>
  <c r="K719" i="56"/>
  <c r="L481" i="56"/>
  <c r="M481" i="56" s="1"/>
  <c r="O481" i="56" s="1"/>
  <c r="O92" i="56"/>
  <c r="K948" i="56"/>
  <c r="L948" i="56" s="1"/>
  <c r="K915" i="56"/>
  <c r="L915" i="56" s="1"/>
  <c r="M915" i="56" s="1"/>
  <c r="N915" i="56" s="1"/>
  <c r="K866" i="56"/>
  <c r="L866" i="56" s="1"/>
  <c r="M866" i="56" s="1"/>
  <c r="K945" i="56"/>
  <c r="L945" i="56" s="1"/>
  <c r="K939" i="56"/>
  <c r="L939" i="56" s="1"/>
  <c r="M939" i="56" s="1"/>
  <c r="N939" i="56" s="1"/>
  <c r="O939" i="56" s="1"/>
  <c r="M256" i="56"/>
  <c r="O256" i="56" s="1"/>
  <c r="M480" i="56"/>
  <c r="O480" i="56" s="1"/>
  <c r="N531" i="56"/>
  <c r="L986" i="56"/>
  <c r="M986" i="56" s="1"/>
  <c r="K977" i="56"/>
  <c r="L977" i="56" s="1"/>
  <c r="K946" i="56"/>
  <c r="L946" i="56" s="1"/>
  <c r="M946" i="56" s="1"/>
  <c r="L954" i="56"/>
  <c r="M954" i="56" s="1"/>
  <c r="N954" i="56" s="1"/>
  <c r="O954" i="56" s="1"/>
  <c r="K982" i="56"/>
  <c r="L982" i="56" s="1"/>
  <c r="M982" i="56" s="1"/>
  <c r="K981" i="56"/>
  <c r="L981" i="56" s="1"/>
  <c r="M981" i="56" s="1"/>
  <c r="N981" i="56" s="1"/>
  <c r="O981" i="56" s="1"/>
  <c r="K880" i="56"/>
  <c r="L880" i="56" s="1"/>
  <c r="M880" i="56" s="1"/>
  <c r="N880" i="56" s="1"/>
  <c r="O880" i="56" s="1"/>
  <c r="K884" i="56"/>
  <c r="L884" i="56" s="1"/>
  <c r="M884" i="56" s="1"/>
  <c r="N884" i="56" s="1"/>
  <c r="O884" i="56" s="1"/>
  <c r="K965" i="56"/>
  <c r="L965" i="56" s="1"/>
  <c r="M965" i="56" s="1"/>
  <c r="K849" i="56"/>
  <c r="L849" i="56" s="1"/>
  <c r="M849" i="56" s="1"/>
  <c r="N849" i="56" s="1"/>
  <c r="O849" i="56" s="1"/>
  <c r="K932" i="56"/>
  <c r="L932" i="56" s="1"/>
  <c r="M932" i="56" s="1"/>
  <c r="K851" i="56"/>
  <c r="L851" i="56" s="1"/>
  <c r="M851" i="56" s="1"/>
  <c r="N851" i="56" s="1"/>
  <c r="O851" i="56" s="1"/>
  <c r="K843" i="56"/>
  <c r="L843" i="56" s="1"/>
  <c r="M843" i="56" s="1"/>
  <c r="K892" i="56"/>
  <c r="L892" i="56" s="1"/>
  <c r="M892" i="56" s="1"/>
  <c r="K934" i="56"/>
  <c r="L934" i="56" s="1"/>
  <c r="M934" i="56" s="1"/>
  <c r="K887" i="56"/>
  <c r="L887" i="56" s="1"/>
  <c r="M887" i="56" s="1"/>
  <c r="N887" i="56" s="1"/>
  <c r="O887" i="56" s="1"/>
  <c r="L940" i="56"/>
  <c r="M940" i="56" s="1"/>
  <c r="K861" i="56"/>
  <c r="L861" i="56" s="1"/>
  <c r="M861" i="56" s="1"/>
  <c r="N861" i="56" s="1"/>
  <c r="O861" i="56" s="1"/>
  <c r="L704" i="56"/>
  <c r="J703" i="56"/>
  <c r="J708" i="56"/>
  <c r="L709" i="56"/>
  <c r="K949" i="56"/>
  <c r="L949" i="56" s="1"/>
  <c r="M949" i="56" s="1"/>
  <c r="N949" i="56" s="1"/>
  <c r="O949" i="56" s="1"/>
  <c r="L248" i="56"/>
  <c r="J247" i="56"/>
  <c r="J246" i="56" s="1"/>
  <c r="O651" i="56"/>
  <c r="O650" i="56" s="1"/>
  <c r="M650" i="56"/>
  <c r="L652" i="56"/>
  <c r="M653" i="56"/>
  <c r="O653" i="56" s="1"/>
  <c r="O652" i="56" s="1"/>
  <c r="K652" i="56"/>
  <c r="L525" i="56"/>
  <c r="N525" i="56" s="1"/>
  <c r="J255" i="56"/>
  <c r="L258" i="56"/>
  <c r="K255" i="56" s="1"/>
  <c r="M260" i="56"/>
  <c r="O260" i="56" s="1"/>
  <c r="N260" i="56"/>
  <c r="N368" i="56"/>
  <c r="M368" i="56"/>
  <c r="O368" i="56" s="1"/>
  <c r="N370" i="56"/>
  <c r="M370" i="56"/>
  <c r="O370" i="56" s="1"/>
  <c r="M533" i="56"/>
  <c r="O533" i="56" s="1"/>
  <c r="N533" i="56"/>
  <c r="M535" i="56"/>
  <c r="O535" i="56" s="1"/>
  <c r="N535" i="56"/>
  <c r="K920" i="56"/>
  <c r="L920" i="56" s="1"/>
  <c r="M920" i="56" s="1"/>
  <c r="N920" i="56" s="1"/>
  <c r="O920" i="56" s="1"/>
  <c r="K867" i="56"/>
  <c r="L867" i="56" s="1"/>
  <c r="M867" i="56" s="1"/>
  <c r="L908" i="56"/>
  <c r="M908" i="56" s="1"/>
  <c r="K956" i="56"/>
  <c r="L956" i="56" s="1"/>
  <c r="L907" i="56"/>
  <c r="M907" i="56" s="1"/>
  <c r="N907" i="56" s="1"/>
  <c r="O907" i="56" s="1"/>
  <c r="K974" i="56"/>
  <c r="L974" i="56" s="1"/>
  <c r="K914" i="56"/>
  <c r="L914" i="56" s="1"/>
  <c r="L975" i="56"/>
  <c r="M975" i="56" s="1"/>
  <c r="N975" i="56" s="1"/>
  <c r="L890" i="56"/>
  <c r="M890" i="56" s="1"/>
  <c r="L230" i="56"/>
  <c r="K950" i="56"/>
  <c r="L950" i="56" s="1"/>
  <c r="M950" i="56" s="1"/>
  <c r="N950" i="56" s="1"/>
  <c r="O950" i="56" s="1"/>
  <c r="L871" i="56"/>
  <c r="M871" i="56" s="1"/>
  <c r="K863" i="56"/>
  <c r="L863" i="56" s="1"/>
  <c r="M863" i="56" s="1"/>
  <c r="N863" i="56" s="1"/>
  <c r="O863" i="56" s="1"/>
  <c r="K854" i="56"/>
  <c r="L854" i="56" s="1"/>
  <c r="M854" i="56" s="1"/>
  <c r="N854" i="56" s="1"/>
  <c r="O854" i="56" s="1"/>
  <c r="K919" i="56"/>
  <c r="L919" i="56" s="1"/>
  <c r="M919" i="56" s="1"/>
  <c r="N919" i="56" s="1"/>
  <c r="O919" i="56" s="1"/>
  <c r="K969" i="56"/>
  <c r="L969" i="56" s="1"/>
  <c r="K917" i="56"/>
  <c r="L917" i="56" s="1"/>
  <c r="M917" i="56" s="1"/>
  <c r="N917" i="56" s="1"/>
  <c r="O917" i="56" s="1"/>
  <c r="L979" i="56"/>
  <c r="M979" i="56" s="1"/>
  <c r="N979" i="56" s="1"/>
  <c r="L872" i="56"/>
  <c r="M872" i="56" s="1"/>
  <c r="N872" i="56" s="1"/>
  <c r="O872" i="56" s="1"/>
  <c r="L953" i="56"/>
  <c r="M953" i="56" s="1"/>
  <c r="K998" i="56"/>
  <c r="L998" i="56" s="1"/>
  <c r="M998" i="56" s="1"/>
  <c r="K791" i="56"/>
  <c r="L791" i="56" s="1"/>
  <c r="M791" i="56" s="1"/>
  <c r="K873" i="56"/>
  <c r="L873" i="56" s="1"/>
  <c r="M873" i="56" s="1"/>
  <c r="N873" i="56" s="1"/>
  <c r="O873" i="56" s="1"/>
  <c r="K988" i="56"/>
  <c r="L988" i="56" s="1"/>
  <c r="M988" i="56" s="1"/>
  <c r="K930" i="56"/>
  <c r="L930" i="56" s="1"/>
  <c r="M930" i="56" s="1"/>
  <c r="K413" i="56"/>
  <c r="L413" i="56" s="1"/>
  <c r="M413" i="56" s="1"/>
  <c r="N413" i="56" s="1"/>
  <c r="O413" i="56" s="1"/>
  <c r="K926" i="56"/>
  <c r="L926" i="56" s="1"/>
  <c r="M926" i="56" s="1"/>
  <c r="K885" i="56"/>
  <c r="L885" i="56" s="1"/>
  <c r="K990" i="56"/>
  <c r="L990" i="56" s="1"/>
  <c r="M990" i="56" s="1"/>
  <c r="K902" i="56"/>
  <c r="L902" i="56" s="1"/>
  <c r="L875" i="56"/>
  <c r="K970" i="56"/>
  <c r="L970" i="56" s="1"/>
  <c r="M970" i="56" s="1"/>
  <c r="L910" i="56"/>
  <c r="M910" i="56" s="1"/>
  <c r="K888" i="56"/>
  <c r="L888" i="56" s="1"/>
  <c r="M888" i="56" s="1"/>
  <c r="N888" i="56" s="1"/>
  <c r="K999" i="56"/>
  <c r="L999" i="56" s="1"/>
  <c r="K1003" i="56"/>
  <c r="L1003" i="56" s="1"/>
  <c r="M1003" i="56" s="1"/>
  <c r="L856" i="56"/>
  <c r="M856" i="56" s="1"/>
  <c r="N856" i="56" s="1"/>
  <c r="K852" i="56"/>
  <c r="L852" i="56" s="1"/>
  <c r="M852" i="56" s="1"/>
  <c r="J325" i="56"/>
  <c r="J324" i="56" s="1"/>
  <c r="J323" i="56" s="1"/>
  <c r="K847" i="56"/>
  <c r="L847" i="56" s="1"/>
  <c r="M847" i="56" s="1"/>
  <c r="N847" i="56" s="1"/>
  <c r="O847" i="56" s="1"/>
  <c r="K942" i="56"/>
  <c r="L942" i="56" s="1"/>
  <c r="K995" i="56"/>
  <c r="L995" i="56" s="1"/>
  <c r="K790" i="56"/>
  <c r="L790" i="56" s="1"/>
  <c r="M790" i="56" s="1"/>
  <c r="N790" i="56" s="1"/>
  <c r="K983" i="56"/>
  <c r="L983" i="56" s="1"/>
  <c r="K997" i="56"/>
  <c r="L997" i="56" s="1"/>
  <c r="M997" i="56" s="1"/>
  <c r="N997" i="56" s="1"/>
  <c r="J715" i="56"/>
  <c r="L717" i="56"/>
  <c r="K937" i="56"/>
  <c r="L937" i="56" s="1"/>
  <c r="M937" i="56" s="1"/>
  <c r="L415" i="56"/>
  <c r="M415" i="56" s="1"/>
  <c r="N415" i="56" s="1"/>
  <c r="O415" i="56" s="1"/>
  <c r="K414" i="56"/>
  <c r="L414" i="56" s="1"/>
  <c r="M414" i="56" s="1"/>
  <c r="L365" i="56"/>
  <c r="N366" i="56"/>
  <c r="M366" i="56"/>
  <c r="O366" i="56" s="1"/>
  <c r="L828" i="56"/>
  <c r="M828" i="56" s="1"/>
  <c r="N828" i="56" s="1"/>
  <c r="O828" i="56" s="1"/>
  <c r="J710" i="56"/>
  <c r="K984" i="56"/>
  <c r="L984" i="56" s="1"/>
  <c r="M984" i="56" s="1"/>
  <c r="N984" i="56" s="1"/>
  <c r="O984" i="56" s="1"/>
  <c r="L991" i="56"/>
  <c r="J700" i="56"/>
  <c r="J699" i="56" s="1"/>
  <c r="L701" i="56"/>
  <c r="K782" i="56"/>
  <c r="L782" i="56" s="1"/>
  <c r="M782" i="56" s="1"/>
  <c r="K566" i="56"/>
  <c r="M566" i="56" s="1"/>
  <c r="L455" i="56"/>
  <c r="K455" i="56"/>
  <c r="N456" i="56"/>
  <c r="N455" i="56" s="1"/>
  <c r="N477" i="56"/>
  <c r="M477" i="56"/>
  <c r="O477" i="56" s="1"/>
  <c r="L353" i="56"/>
  <c r="M353" i="56" s="1"/>
  <c r="O353" i="56" s="1"/>
  <c r="L266" i="56"/>
  <c r="M266" i="56" s="1"/>
  <c r="O266" i="56" s="1"/>
  <c r="N347" i="56"/>
  <c r="L320" i="56"/>
  <c r="N320" i="56" s="1"/>
  <c r="K785" i="56"/>
  <c r="L785" i="56" s="1"/>
  <c r="M785" i="56" s="1"/>
  <c r="N785" i="56" s="1"/>
  <c r="O785" i="56" s="1"/>
  <c r="L787" i="56"/>
  <c r="M787" i="56" s="1"/>
  <c r="N787" i="56" s="1"/>
  <c r="L355" i="56"/>
  <c r="M355" i="56" s="1"/>
  <c r="O355" i="56" s="1"/>
  <c r="L356" i="56"/>
  <c r="M356" i="56" s="1"/>
  <c r="O356" i="56" s="1"/>
  <c r="L504" i="56"/>
  <c r="M504" i="56" s="1"/>
  <c r="O504" i="56" s="1"/>
  <c r="L453" i="56"/>
  <c r="N454" i="56"/>
  <c r="N453" i="56" s="1"/>
  <c r="M454" i="56"/>
  <c r="L508" i="56"/>
  <c r="M508" i="56" s="1"/>
  <c r="O508" i="56" s="1"/>
  <c r="L445" i="56"/>
  <c r="M445" i="56" s="1"/>
  <c r="O445" i="56" s="1"/>
  <c r="K365" i="56"/>
  <c r="M456" i="56"/>
  <c r="O456" i="56" s="1"/>
  <c r="K916" i="56"/>
  <c r="L916" i="56" s="1"/>
  <c r="K938" i="56"/>
  <c r="L938" i="56" s="1"/>
  <c r="L877" i="56"/>
  <c r="K976" i="56"/>
  <c r="L976" i="56" s="1"/>
  <c r="K896" i="56"/>
  <c r="L896" i="56" s="1"/>
  <c r="M896" i="56" s="1"/>
  <c r="N896" i="56" s="1"/>
  <c r="O896" i="56" s="1"/>
  <c r="K225" i="56"/>
  <c r="L225" i="56" s="1"/>
  <c r="K911" i="56"/>
  <c r="L911" i="56" s="1"/>
  <c r="M911" i="56" s="1"/>
  <c r="N911" i="56" s="1"/>
  <c r="L893" i="56"/>
  <c r="L886" i="56"/>
  <c r="K972" i="56"/>
  <c r="L972" i="56" s="1"/>
  <c r="M972" i="56" s="1"/>
  <c r="K963" i="56"/>
  <c r="L963" i="56" s="1"/>
  <c r="M963" i="56" s="1"/>
  <c r="L874" i="56"/>
  <c r="L918" i="56"/>
  <c r="M918" i="56" s="1"/>
  <c r="L879" i="56"/>
  <c r="K971" i="56"/>
  <c r="L971" i="56" s="1"/>
  <c r="K967" i="56"/>
  <c r="L967" i="56" s="1"/>
  <c r="M967" i="56" s="1"/>
  <c r="L1001" i="56"/>
  <c r="M1001" i="56" s="1"/>
  <c r="N1001" i="56" s="1"/>
  <c r="K789" i="56"/>
  <c r="L789" i="56" s="1"/>
  <c r="M789" i="56" s="1"/>
  <c r="L935" i="56"/>
  <c r="M935" i="56" s="1"/>
  <c r="N935" i="56" s="1"/>
  <c r="L973" i="56"/>
  <c r="M973" i="56" s="1"/>
  <c r="N973" i="56" s="1"/>
  <c r="L111" i="56"/>
  <c r="N112" i="56"/>
  <c r="N111" i="56" s="1"/>
  <c r="N110" i="56" s="1"/>
  <c r="N109" i="56" s="1"/>
  <c r="N108" i="56" s="1"/>
  <c r="M112" i="56"/>
  <c r="L921" i="56"/>
  <c r="M921" i="56" s="1"/>
  <c r="N921" i="56" s="1"/>
  <c r="L993" i="56"/>
  <c r="M993" i="56" s="1"/>
  <c r="K878" i="56"/>
  <c r="L878" i="56" s="1"/>
  <c r="M878" i="56" s="1"/>
  <c r="N878" i="56" s="1"/>
  <c r="O878" i="56" s="1"/>
  <c r="K899" i="56"/>
  <c r="L899" i="56" s="1"/>
  <c r="M899" i="56" s="1"/>
  <c r="N899" i="56" s="1"/>
  <c r="O899" i="56" s="1"/>
  <c r="K853" i="56"/>
  <c r="L853" i="56" s="1"/>
  <c r="K958" i="56"/>
  <c r="L958" i="56" s="1"/>
  <c r="L103" i="56"/>
  <c r="L100" i="56" s="1"/>
  <c r="K103" i="56"/>
  <c r="N104" i="56"/>
  <c r="N103" i="56" s="1"/>
  <c r="L961" i="56"/>
  <c r="M961" i="56" s="1"/>
  <c r="N961" i="56" s="1"/>
  <c r="K903" i="56"/>
  <c r="L903" i="56" s="1"/>
  <c r="M903" i="56" s="1"/>
  <c r="N903" i="56" s="1"/>
  <c r="O903" i="56" s="1"/>
  <c r="L923" i="56"/>
  <c r="M923" i="56" s="1"/>
  <c r="N923" i="56" s="1"/>
  <c r="K924" i="56"/>
  <c r="L924" i="56" s="1"/>
  <c r="M924" i="56" s="1"/>
  <c r="K864" i="56"/>
  <c r="L864" i="56" s="1"/>
  <c r="M864" i="56" s="1"/>
  <c r="N864" i="56" s="1"/>
  <c r="K933" i="56"/>
  <c r="L933" i="56" s="1"/>
  <c r="K859" i="56"/>
  <c r="L859" i="56" s="1"/>
  <c r="L996" i="56"/>
  <c r="K994" i="56"/>
  <c r="L994" i="56" s="1"/>
  <c r="M994" i="56" s="1"/>
  <c r="N994" i="56" s="1"/>
  <c r="O994" i="56" s="1"/>
  <c r="K987" i="56"/>
  <c r="L987" i="56" s="1"/>
  <c r="J250" i="56"/>
  <c r="J249" i="56" s="1"/>
  <c r="L251" i="56"/>
  <c r="N251" i="56" s="1"/>
  <c r="N250" i="56" s="1"/>
  <c r="N249" i="56" s="1"/>
  <c r="L231" i="56"/>
  <c r="M231" i="56" s="1"/>
  <c r="K860" i="56"/>
  <c r="L860" i="56" s="1"/>
  <c r="M860" i="56" s="1"/>
  <c r="N860" i="56" s="1"/>
  <c r="O860" i="56" s="1"/>
  <c r="M326" i="56"/>
  <c r="O326" i="56" s="1"/>
  <c r="K325" i="56"/>
  <c r="L943" i="56"/>
  <c r="M943" i="56" s="1"/>
  <c r="K936" i="56"/>
  <c r="L936" i="56" s="1"/>
  <c r="M936" i="56" s="1"/>
  <c r="N936" i="56" s="1"/>
  <c r="O936" i="56" s="1"/>
  <c r="L989" i="56"/>
  <c r="M989" i="56" s="1"/>
  <c r="N989" i="56" s="1"/>
  <c r="K786" i="56"/>
  <c r="L786" i="56" s="1"/>
  <c r="M786" i="56" s="1"/>
  <c r="K567" i="56"/>
  <c r="L639" i="56"/>
  <c r="M640" i="56"/>
  <c r="O640" i="56" s="1"/>
  <c r="O639" i="56" s="1"/>
  <c r="K639" i="56"/>
  <c r="L346" i="56"/>
  <c r="M568" i="56"/>
  <c r="N102" i="56"/>
  <c r="M102" i="56"/>
  <c r="O102" i="56" s="1"/>
  <c r="L705" i="56"/>
  <c r="M706" i="56"/>
  <c r="K705" i="56"/>
  <c r="L444" i="56"/>
  <c r="M444" i="56" s="1"/>
  <c r="O444" i="56" s="1"/>
  <c r="L710" i="56"/>
  <c r="N711" i="56"/>
  <c r="N710" i="56" s="1"/>
  <c r="M711" i="56"/>
  <c r="K710" i="56"/>
  <c r="N530" i="56"/>
  <c r="M530" i="56"/>
  <c r="O530" i="56" s="1"/>
  <c r="K667" i="56"/>
  <c r="L667" i="56" s="1"/>
  <c r="J665" i="56"/>
  <c r="J641" i="56" s="1"/>
  <c r="J634" i="56" s="1"/>
  <c r="L788" i="56"/>
  <c r="M788" i="56" s="1"/>
  <c r="N788" i="56" s="1"/>
  <c r="O788" i="56" s="1"/>
  <c r="L648" i="56"/>
  <c r="L647" i="56" s="1"/>
  <c r="J450" i="56"/>
  <c r="L451" i="56"/>
  <c r="L507" i="56"/>
  <c r="M507" i="56" s="1"/>
  <c r="O507" i="56" s="1"/>
  <c r="L511" i="56"/>
  <c r="M511" i="56" s="1"/>
  <c r="O511" i="56" s="1"/>
  <c r="L322" i="56"/>
  <c r="N322" i="56" s="1"/>
  <c r="O12" i="56"/>
  <c r="K233" i="56"/>
  <c r="L233" i="56" s="1"/>
  <c r="K624" i="56"/>
  <c r="L624" i="56" s="1"/>
  <c r="J614" i="56"/>
  <c r="K836" i="56"/>
  <c r="L836" i="56" s="1"/>
  <c r="M836" i="56" s="1"/>
  <c r="L321" i="56"/>
  <c r="M321" i="56" s="1"/>
  <c r="O321" i="56" s="1"/>
  <c r="K793" i="56"/>
  <c r="L793" i="56" s="1"/>
  <c r="J30" i="56"/>
  <c r="C19" i="50"/>
  <c r="C18" i="50" s="1"/>
  <c r="O367" i="56"/>
  <c r="E19" i="50" s="1"/>
  <c r="E18" i="50" s="1"/>
  <c r="O299" i="56"/>
  <c r="N326" i="56"/>
  <c r="M516" i="56"/>
  <c r="O516" i="56" s="1"/>
  <c r="N706" i="56"/>
  <c r="N705" i="56" s="1"/>
  <c r="K857" i="56"/>
  <c r="L857" i="56" s="1"/>
  <c r="K951" i="56"/>
  <c r="L951" i="56" s="1"/>
  <c r="M951" i="56" s="1"/>
  <c r="K927" i="56"/>
  <c r="L927" i="56" s="1"/>
  <c r="M927" i="56" s="1"/>
  <c r="N927" i="56" s="1"/>
  <c r="O927" i="56" s="1"/>
  <c r="K928" i="56"/>
  <c r="L928" i="56" s="1"/>
  <c r="M928" i="56" s="1"/>
  <c r="L228" i="56"/>
  <c r="M228" i="56" s="1"/>
  <c r="N228" i="56" s="1"/>
  <c r="O228" i="56" s="1"/>
  <c r="K845" i="56"/>
  <c r="L845" i="56" s="1"/>
  <c r="M845" i="56" s="1"/>
  <c r="N845" i="56" s="1"/>
  <c r="O845" i="56" s="1"/>
  <c r="L929" i="56"/>
  <c r="M929" i="56" s="1"/>
  <c r="L980" i="56"/>
  <c r="M980" i="56" s="1"/>
  <c r="N980" i="56" s="1"/>
  <c r="O980" i="56" s="1"/>
  <c r="K895" i="56"/>
  <c r="L895" i="56" s="1"/>
  <c r="L226" i="56"/>
  <c r="M226" i="56" s="1"/>
  <c r="N226" i="56" s="1"/>
  <c r="L957" i="56"/>
  <c r="M957" i="56" s="1"/>
  <c r="N957" i="56" s="1"/>
  <c r="K232" i="56"/>
  <c r="L232" i="56" s="1"/>
  <c r="M232" i="56" s="1"/>
  <c r="N232" i="56" s="1"/>
  <c r="O232" i="56" s="1"/>
  <c r="L876" i="56"/>
  <c r="L106" i="56"/>
  <c r="K106" i="56"/>
  <c r="N107" i="56"/>
  <c r="N106" i="56" s="1"/>
  <c r="N105" i="56" s="1"/>
  <c r="K955" i="56"/>
  <c r="L955" i="56" s="1"/>
  <c r="M101" i="56"/>
  <c r="O101" i="56" s="1"/>
  <c r="K901" i="56"/>
  <c r="L901" i="56" s="1"/>
  <c r="K905" i="56"/>
  <c r="L905" i="56" s="1"/>
  <c r="M905" i="56" s="1"/>
  <c r="N905" i="56" s="1"/>
  <c r="O905" i="56" s="1"/>
  <c r="K848" i="56"/>
  <c r="L848" i="56" s="1"/>
  <c r="M848" i="56" s="1"/>
  <c r="N848" i="56" s="1"/>
  <c r="O848" i="56" s="1"/>
  <c r="L964" i="56"/>
  <c r="M964" i="56" s="1"/>
  <c r="N964" i="56" s="1"/>
  <c r="O964" i="56" s="1"/>
  <c r="L870" i="56"/>
  <c r="M870" i="56" s="1"/>
  <c r="N870" i="56" s="1"/>
  <c r="O870" i="56" s="1"/>
  <c r="L850" i="56"/>
  <c r="M850" i="56" s="1"/>
  <c r="K944" i="56"/>
  <c r="L944" i="56" s="1"/>
  <c r="K904" i="56"/>
  <c r="L904" i="56" s="1"/>
  <c r="M904" i="56" s="1"/>
  <c r="N904" i="56" s="1"/>
  <c r="O904" i="56" s="1"/>
  <c r="K992" i="56"/>
  <c r="L992" i="56" s="1"/>
  <c r="M992" i="56" s="1"/>
  <c r="N992" i="56" s="1"/>
  <c r="O992" i="56" s="1"/>
  <c r="K883" i="56"/>
  <c r="L883" i="56" s="1"/>
  <c r="M883" i="56" s="1"/>
  <c r="L959" i="56"/>
  <c r="M959" i="56" s="1"/>
  <c r="N959" i="56" s="1"/>
  <c r="O959" i="56" s="1"/>
  <c r="L637" i="56"/>
  <c r="M638" i="56"/>
  <c r="L898" i="56"/>
  <c r="M898" i="56" s="1"/>
  <c r="N898" i="56" s="1"/>
  <c r="O898" i="56" s="1"/>
  <c r="L855" i="56"/>
  <c r="M855" i="56" s="1"/>
  <c r="N855" i="56" s="1"/>
  <c r="O855" i="56" s="1"/>
  <c r="L862" i="56"/>
  <c r="L925" i="56"/>
  <c r="M925" i="56" s="1"/>
  <c r="L858" i="56"/>
  <c r="M858" i="56" s="1"/>
  <c r="L960" i="56"/>
  <c r="M960" i="56" s="1"/>
  <c r="N960" i="56" s="1"/>
  <c r="O960" i="56" s="1"/>
  <c r="K906" i="56"/>
  <c r="L906" i="56" s="1"/>
  <c r="M906" i="56" s="1"/>
  <c r="K985" i="56"/>
  <c r="L985" i="56" s="1"/>
  <c r="M985" i="56" s="1"/>
  <c r="L922" i="56"/>
  <c r="M922" i="56" s="1"/>
  <c r="N922" i="56" s="1"/>
  <c r="O922" i="56" s="1"/>
  <c r="K894" i="56"/>
  <c r="L894" i="56" s="1"/>
  <c r="M894" i="56" s="1"/>
  <c r="L897" i="56"/>
  <c r="M897" i="56" s="1"/>
  <c r="N897" i="56" s="1"/>
  <c r="K1002" i="56"/>
  <c r="L1002" i="56" s="1"/>
  <c r="L941" i="56"/>
  <c r="M941" i="56" s="1"/>
  <c r="L881" i="56"/>
  <c r="M881" i="56" s="1"/>
  <c r="N881" i="56" s="1"/>
  <c r="L978" i="56"/>
  <c r="M978" i="56" s="1"/>
  <c r="L831" i="56"/>
  <c r="M831" i="56" s="1"/>
  <c r="N831" i="56" s="1"/>
  <c r="L288" i="56"/>
  <c r="M288" i="56" s="1"/>
  <c r="L844" i="56"/>
  <c r="M844" i="56" s="1"/>
  <c r="L513" i="56"/>
  <c r="K513" i="56"/>
  <c r="N514" i="56"/>
  <c r="N513" i="56" s="1"/>
  <c r="K792" i="56"/>
  <c r="L792" i="56" s="1"/>
  <c r="L650" i="56"/>
  <c r="K650" i="56"/>
  <c r="L229" i="56"/>
  <c r="L966" i="56"/>
  <c r="M966" i="56" s="1"/>
  <c r="N966" i="56" s="1"/>
  <c r="J302" i="56"/>
  <c r="K770" i="56"/>
  <c r="L770" i="56" s="1"/>
  <c r="K474" i="56"/>
  <c r="L474" i="56" s="1"/>
  <c r="M474" i="56" s="1"/>
  <c r="N474" i="56" s="1"/>
  <c r="K666" i="56"/>
  <c r="L666" i="56" s="1"/>
  <c r="L354" i="56"/>
  <c r="M354" i="56" s="1"/>
  <c r="O354" i="56" s="1"/>
  <c r="L441" i="56"/>
  <c r="N441" i="56" s="1"/>
  <c r="J520" i="56"/>
  <c r="J519" i="56" s="1"/>
  <c r="L521" i="56"/>
  <c r="L520" i="56" s="1"/>
  <c r="L656" i="56"/>
  <c r="M657" i="56"/>
  <c r="O657" i="56" s="1"/>
  <c r="O656" i="56" s="1"/>
  <c r="O654" i="56" s="1"/>
  <c r="K656" i="56"/>
  <c r="J642" i="56"/>
  <c r="L643" i="56"/>
  <c r="K832" i="56"/>
  <c r="L832" i="56" s="1"/>
  <c r="L358" i="56"/>
  <c r="M358" i="56" s="1"/>
  <c r="O358" i="56" s="1"/>
  <c r="M264" i="56"/>
  <c r="O264" i="56" s="1"/>
  <c r="L509" i="56"/>
  <c r="M509" i="56" s="1"/>
  <c r="O509" i="56" s="1"/>
  <c r="K743" i="56"/>
  <c r="L743" i="56" s="1"/>
  <c r="L526" i="56"/>
  <c r="K776" i="56"/>
  <c r="L776" i="56" s="1"/>
  <c r="J658" i="56"/>
  <c r="L659" i="56"/>
  <c r="K784" i="56"/>
  <c r="L784" i="56" s="1"/>
  <c r="M784" i="56" s="1"/>
  <c r="N784" i="56" s="1"/>
  <c r="O784" i="56" s="1"/>
  <c r="L350" i="56"/>
  <c r="M350" i="56" s="1"/>
  <c r="O350" i="56" s="1"/>
  <c r="N517" i="56"/>
  <c r="M517" i="56"/>
  <c r="O517" i="56" s="1"/>
  <c r="N522" i="56"/>
  <c r="M522" i="56"/>
  <c r="O522" i="56" s="1"/>
  <c r="C59" i="50"/>
  <c r="C57" i="50" s="1"/>
  <c r="M90" i="56"/>
  <c r="K111" i="56"/>
  <c r="M518" i="56"/>
  <c r="O518" i="56" s="1"/>
  <c r="L351" i="56"/>
  <c r="M351" i="56" s="1"/>
  <c r="O351" i="56" s="1"/>
  <c r="L416" i="56"/>
  <c r="M416" i="56" s="1"/>
  <c r="N416" i="56" s="1"/>
  <c r="L783" i="56"/>
  <c r="M783" i="56" s="1"/>
  <c r="N783" i="56" s="1"/>
  <c r="O783" i="56" s="1"/>
  <c r="N362" i="56"/>
  <c r="J270" i="56"/>
  <c r="J245" i="56" s="1"/>
  <c r="L325" i="56"/>
  <c r="J569" i="56"/>
  <c r="O85" i="56"/>
  <c r="O84" i="56" s="1"/>
  <c r="N22" i="56"/>
  <c r="N18" i="56" s="1"/>
  <c r="N30" i="56"/>
  <c r="N56" i="56"/>
  <c r="D59" i="50"/>
  <c r="D57" i="50" s="1"/>
  <c r="N90" i="56"/>
  <c r="M257" i="56"/>
  <c r="O257" i="56" s="1"/>
  <c r="M259" i="56"/>
  <c r="O259" i="56" s="1"/>
  <c r="M261" i="56"/>
  <c r="O261" i="56" s="1"/>
  <c r="M327" i="56"/>
  <c r="O327" i="56" s="1"/>
  <c r="M329" i="56"/>
  <c r="O329" i="56" s="1"/>
  <c r="M534" i="56"/>
  <c r="O534" i="56" s="1"/>
  <c r="M645" i="56"/>
  <c r="O645" i="56" s="1"/>
  <c r="N744" i="56"/>
  <c r="K238" i="56"/>
  <c r="L238" i="56" s="1"/>
  <c r="L630" i="56"/>
  <c r="M630" i="56" s="1"/>
  <c r="N630" i="56" s="1"/>
  <c r="O630" i="56" s="1"/>
  <c r="J529" i="56"/>
  <c r="J528" i="56" s="1"/>
  <c r="L532" i="56"/>
  <c r="L529" i="56" s="1"/>
  <c r="O30" i="56"/>
  <c r="O90" i="56"/>
  <c r="O275" i="56"/>
  <c r="O270" i="56" s="1"/>
  <c r="O245" i="56" s="1"/>
  <c r="M569" i="56"/>
  <c r="C16" i="50" s="1"/>
  <c r="N327" i="56"/>
  <c r="M457" i="56"/>
  <c r="O457" i="56" s="1"/>
  <c r="M459" i="56"/>
  <c r="O459" i="56" s="1"/>
  <c r="M479" i="56"/>
  <c r="O479" i="56" s="1"/>
  <c r="M515" i="56"/>
  <c r="O515" i="56" s="1"/>
  <c r="M649" i="56"/>
  <c r="O649" i="56" s="1"/>
  <c r="N764" i="56"/>
  <c r="L668" i="56"/>
  <c r="M668" i="56" s="1"/>
  <c r="N668" i="56" s="1"/>
  <c r="L352" i="56"/>
  <c r="M352" i="56" s="1"/>
  <c r="O352" i="56" s="1"/>
  <c r="L510" i="56"/>
  <c r="N510" i="56" s="1"/>
  <c r="L286" i="56"/>
  <c r="K664" i="56"/>
  <c r="L664" i="56" s="1"/>
  <c r="M664" i="56" s="1"/>
  <c r="N664" i="56" s="1"/>
  <c r="L268" i="56"/>
  <c r="M268" i="56" s="1"/>
  <c r="O268" i="56" s="1"/>
  <c r="L749" i="56"/>
  <c r="O18" i="56"/>
  <c r="O17" i="56" s="1"/>
  <c r="O48" i="56"/>
  <c r="N330" i="56"/>
  <c r="N385" i="56"/>
  <c r="N396" i="56"/>
  <c r="N601" i="56"/>
  <c r="N200" i="56"/>
  <c r="N220" i="56"/>
  <c r="N660" i="56"/>
  <c r="N807" i="56"/>
  <c r="N271" i="56"/>
  <c r="N575" i="56"/>
  <c r="N778" i="56"/>
  <c r="N841" i="56"/>
  <c r="N840" i="56" s="1"/>
  <c r="N833" i="56"/>
  <c r="N92" i="56"/>
  <c r="N91" i="56" s="1"/>
  <c r="D58" i="50" s="1"/>
  <c r="M17" i="56"/>
  <c r="M16" i="56" s="1"/>
  <c r="N25" i="56"/>
  <c r="N53" i="56"/>
  <c r="N48" i="56" s="1"/>
  <c r="N45" i="56"/>
  <c r="Y727" i="51"/>
  <c r="C28" i="15" s="1"/>
  <c r="Z750" i="51"/>
  <c r="Z526" i="51"/>
  <c r="Z512" i="51"/>
  <c r="Z505" i="51" s="1"/>
  <c r="Z492" i="51"/>
  <c r="Z491" i="51" s="1"/>
  <c r="Z407" i="51"/>
  <c r="Z406" i="51" s="1"/>
  <c r="X336" i="51"/>
  <c r="X335" i="51" s="1"/>
  <c r="Y280" i="51"/>
  <c r="Y255" i="51" s="1"/>
  <c r="Z281" i="51"/>
  <c r="Z210" i="51"/>
  <c r="Z207" i="51"/>
  <c r="Y95" i="51"/>
  <c r="Z62" i="51"/>
  <c r="Z56" i="51" s="1"/>
  <c r="Z44" i="51"/>
  <c r="F27" i="46"/>
  <c r="D22" i="46"/>
  <c r="N265" i="56"/>
  <c r="J263" i="56"/>
  <c r="J262" i="56" s="1"/>
  <c r="N720" i="56"/>
  <c r="N719" i="56" s="1"/>
  <c r="N714" i="56" s="1"/>
  <c r="J719" i="56"/>
  <c r="J714" i="56" s="1"/>
  <c r="K316" i="56"/>
  <c r="N89" i="56"/>
  <c r="O89" i="56" s="1"/>
  <c r="J656" i="56"/>
  <c r="J654" i="56" s="1"/>
  <c r="N657" i="56"/>
  <c r="N656" i="56" s="1"/>
  <c r="N654" i="56" s="1"/>
  <c r="J90" i="56"/>
  <c r="J607" i="56"/>
  <c r="K608" i="56"/>
  <c r="E65" i="50"/>
  <c r="O514" i="56"/>
  <c r="O513" i="56" s="1"/>
  <c r="J524" i="56"/>
  <c r="J100" i="56"/>
  <c r="J99" i="56" s="1"/>
  <c r="J98" i="56" s="1"/>
  <c r="J97" i="56" s="1"/>
  <c r="J236" i="56"/>
  <c r="K237" i="56"/>
  <c r="L237" i="56" s="1"/>
  <c r="K542" i="56"/>
  <c r="J536" i="56"/>
  <c r="J501" i="56" s="1"/>
  <c r="D65" i="50"/>
  <c r="J739" i="56"/>
  <c r="J455" i="56"/>
  <c r="J818" i="56"/>
  <c r="K819" i="56"/>
  <c r="L819" i="56" s="1"/>
  <c r="J365" i="56"/>
  <c r="J364" i="56" s="1"/>
  <c r="J363" i="56" s="1"/>
  <c r="M773" i="56"/>
  <c r="M772" i="56" s="1"/>
  <c r="N287" i="56"/>
  <c r="N275" i="56" s="1"/>
  <c r="N578" i="56"/>
  <c r="O37" i="56"/>
  <c r="N638" i="56"/>
  <c r="N637" i="56" s="1"/>
  <c r="J637" i="56"/>
  <c r="J476" i="56"/>
  <c r="K243" i="56"/>
  <c r="L243" i="56" s="1"/>
  <c r="J242" i="56"/>
  <c r="J698" i="56"/>
  <c r="M30" i="56"/>
  <c r="C55" i="50"/>
  <c r="M114" i="56"/>
  <c r="C43" i="50" s="1"/>
  <c r="M212" i="56"/>
  <c r="M270" i="56"/>
  <c r="M698" i="56"/>
  <c r="O840" i="56"/>
  <c r="E64" i="50"/>
  <c r="E62" i="50" s="1"/>
  <c r="N60" i="56"/>
  <c r="N214" i="56"/>
  <c r="N372" i="56"/>
  <c r="N343" i="56" s="1"/>
  <c r="J827" i="56"/>
  <c r="J826" i="56" s="1"/>
  <c r="J822" i="56" s="1"/>
  <c r="N482" i="56"/>
  <c r="N475" i="56" s="1"/>
  <c r="O814" i="56"/>
  <c r="O813" i="56" s="1"/>
  <c r="N814" i="56"/>
  <c r="N813" i="56" s="1"/>
  <c r="J70" i="56"/>
  <c r="J59" i="56" s="1"/>
  <c r="K71" i="56"/>
  <c r="O265" i="56"/>
  <c r="K234" i="56"/>
  <c r="L234" i="56" s="1"/>
  <c r="J767" i="56"/>
  <c r="J763" i="56" s="1"/>
  <c r="K768" i="56"/>
  <c r="L768" i="56" s="1"/>
  <c r="N653" i="56"/>
  <c r="N652" i="56" s="1"/>
  <c r="J652" i="56"/>
  <c r="J318" i="56"/>
  <c r="J317" i="56" s="1"/>
  <c r="N319" i="56"/>
  <c r="J440" i="56"/>
  <c r="J439" i="56" s="1"/>
  <c r="N443" i="56"/>
  <c r="J647" i="56"/>
  <c r="N649" i="56"/>
  <c r="J639" i="56"/>
  <c r="N640" i="56"/>
  <c r="N639" i="56" s="1"/>
  <c r="K433" i="56"/>
  <c r="L433" i="56" s="1"/>
  <c r="J432" i="56"/>
  <c r="J426" i="56" s="1"/>
  <c r="J421" i="56" s="1"/>
  <c r="J405" i="56" s="1"/>
  <c r="J345" i="56"/>
  <c r="J344" i="56" s="1"/>
  <c r="J37" i="56"/>
  <c r="J36" i="56" s="1"/>
  <c r="N42" i="56"/>
  <c r="N607" i="56"/>
  <c r="C65" i="50"/>
  <c r="X795" i="51"/>
  <c r="S495" i="51"/>
  <c r="S468" i="51" s="1"/>
  <c r="N374" i="51"/>
  <c r="P374" i="51" s="1"/>
  <c r="N390" i="51"/>
  <c r="P390" i="51" s="1"/>
  <c r="J853" i="51"/>
  <c r="J747" i="51"/>
  <c r="L747" i="51" s="1"/>
  <c r="N747" i="51" s="1"/>
  <c r="P747" i="51" s="1"/>
  <c r="R747" i="51" s="1"/>
  <c r="T747" i="51" s="1"/>
  <c r="V747" i="51" s="1"/>
  <c r="X747" i="51" s="1"/>
  <c r="Z747" i="51" s="1"/>
  <c r="K747" i="51"/>
  <c r="M747" i="51" s="1"/>
  <c r="O747" i="51" s="1"/>
  <c r="Q747" i="51" s="1"/>
  <c r="S747" i="51" s="1"/>
  <c r="U747" i="51" s="1"/>
  <c r="W747" i="51" s="1"/>
  <c r="Y747" i="51" s="1"/>
  <c r="I744" i="51"/>
  <c r="O794" i="51"/>
  <c r="M794" i="51"/>
  <c r="M793" i="51" s="1"/>
  <c r="S801" i="51"/>
  <c r="S800" i="51" s="1"/>
  <c r="M111" i="51"/>
  <c r="L111" i="51"/>
  <c r="T646" i="51"/>
  <c r="T580" i="51"/>
  <c r="R580" i="51"/>
  <c r="X551" i="51"/>
  <c r="Z551" i="51" s="1"/>
  <c r="S276" i="51"/>
  <c r="U276" i="51" s="1"/>
  <c r="R557" i="51"/>
  <c r="T557" i="51" s="1"/>
  <c r="V414" i="51"/>
  <c r="L940" i="51"/>
  <c r="M745" i="51"/>
  <c r="O745" i="51" s="1"/>
  <c r="S275" i="51"/>
  <c r="U275" i="51" s="1"/>
  <c r="Q555" i="51"/>
  <c r="S555" i="51" s="1"/>
  <c r="O554" i="51"/>
  <c r="S274" i="51"/>
  <c r="U274" i="51" s="1"/>
  <c r="M687" i="51"/>
  <c r="O687" i="51"/>
  <c r="Q688" i="51"/>
  <c r="R689" i="51"/>
  <c r="T690" i="51"/>
  <c r="T689" i="51" s="1"/>
  <c r="R381" i="51"/>
  <c r="T381" i="51" s="1"/>
  <c r="X644" i="51"/>
  <c r="Z644" i="51" s="1"/>
  <c r="R800" i="51"/>
  <c r="L852" i="51"/>
  <c r="V503" i="51"/>
  <c r="V495" i="51" s="1"/>
  <c r="V468" i="51" s="1"/>
  <c r="V467" i="51" s="1"/>
  <c r="V466" i="51" s="1"/>
  <c r="U495" i="51"/>
  <c r="U468" i="51" s="1"/>
  <c r="U467" i="51" s="1"/>
  <c r="U466" i="51" s="1"/>
  <c r="O552" i="51"/>
  <c r="M550" i="51"/>
  <c r="M549" i="51" s="1"/>
  <c r="J554" i="51"/>
  <c r="L556" i="51"/>
  <c r="L678" i="51"/>
  <c r="L676" i="51" s="1"/>
  <c r="J676" i="51"/>
  <c r="S693" i="51"/>
  <c r="T693" i="51" s="1"/>
  <c r="J695" i="51"/>
  <c r="I694" i="51"/>
  <c r="J694" i="51" s="1"/>
  <c r="T705" i="51"/>
  <c r="R699" i="51"/>
  <c r="L730" i="51"/>
  <c r="J729" i="51"/>
  <c r="J728" i="51" s="1"/>
  <c r="I764" i="51"/>
  <c r="J765" i="51"/>
  <c r="J764" i="51" s="1"/>
  <c r="R771" i="51"/>
  <c r="I768" i="51"/>
  <c r="J776" i="51"/>
  <c r="N768" i="51"/>
  <c r="H847" i="51"/>
  <c r="M847" i="51"/>
  <c r="P852" i="51"/>
  <c r="R858" i="51"/>
  <c r="R857" i="51" s="1"/>
  <c r="R852" i="51" s="1"/>
  <c r="R862" i="51"/>
  <c r="S862" i="51" s="1"/>
  <c r="H858" i="51"/>
  <c r="H857" i="51" s="1"/>
  <c r="H852" i="51" s="1"/>
  <c r="J864" i="51"/>
  <c r="K876" i="51"/>
  <c r="J876" i="51"/>
  <c r="I875" i="51"/>
  <c r="K885" i="51"/>
  <c r="J885" i="51"/>
  <c r="J888" i="51"/>
  <c r="L888" i="51" s="1"/>
  <c r="K888" i="51"/>
  <c r="J892" i="51"/>
  <c r="M892" i="51" s="1"/>
  <c r="K896" i="51"/>
  <c r="J896" i="51"/>
  <c r="J899" i="51"/>
  <c r="L899" i="51" s="1"/>
  <c r="K899" i="51"/>
  <c r="J903" i="51"/>
  <c r="L903" i="51" s="1"/>
  <c r="K903" i="51"/>
  <c r="K982" i="51"/>
  <c r="J982" i="51"/>
  <c r="L982" i="51" s="1"/>
  <c r="J988" i="51"/>
  <c r="L988" i="51" s="1"/>
  <c r="K988" i="51"/>
  <c r="J992" i="51"/>
  <c r="K992" i="51"/>
  <c r="J995" i="51"/>
  <c r="K999" i="51"/>
  <c r="M999" i="51" s="1"/>
  <c r="L999" i="51"/>
  <c r="K1003" i="51"/>
  <c r="J1003" i="51"/>
  <c r="K1010" i="51"/>
  <c r="J1010" i="51"/>
  <c r="L1010" i="51" s="1"/>
  <c r="K1016" i="51"/>
  <c r="J1016" i="51"/>
  <c r="K1022" i="51"/>
  <c r="J1022" i="51"/>
  <c r="L1022" i="51" s="1"/>
  <c r="K1026" i="51"/>
  <c r="J1026" i="51"/>
  <c r="J1030" i="51"/>
  <c r="M1030" i="51" s="1"/>
  <c r="J1035" i="51"/>
  <c r="M1035" i="51" s="1"/>
  <c r="I1032" i="51"/>
  <c r="J1032" i="51" s="1"/>
  <c r="M1032" i="51" s="1"/>
  <c r="L580" i="51"/>
  <c r="J580" i="51"/>
  <c r="Z438" i="51"/>
  <c r="Z437" i="51" s="1"/>
  <c r="Z436" i="51" s="1"/>
  <c r="Z435" i="51" s="1"/>
  <c r="X437" i="51"/>
  <c r="X436" i="51" s="1"/>
  <c r="X435" i="51" s="1"/>
  <c r="P537" i="51"/>
  <c r="R537" i="51" s="1"/>
  <c r="T537" i="51" s="1"/>
  <c r="J798" i="51"/>
  <c r="J794" i="51" s="1"/>
  <c r="I794" i="51"/>
  <c r="R97" i="51"/>
  <c r="R96" i="51" s="1"/>
  <c r="R95" i="51" s="1"/>
  <c r="T99" i="51"/>
  <c r="T97" i="51" s="1"/>
  <c r="T96" i="51" s="1"/>
  <c r="T95" i="51" s="1"/>
  <c r="P507" i="51"/>
  <c r="R507" i="51" s="1"/>
  <c r="T507" i="51" s="1"/>
  <c r="V507" i="51" s="1"/>
  <c r="V406" i="51"/>
  <c r="N749" i="51"/>
  <c r="N748" i="51" s="1"/>
  <c r="N743" i="51" s="1"/>
  <c r="K995" i="51"/>
  <c r="S772" i="51"/>
  <c r="U778" i="51"/>
  <c r="V778" i="51" s="1"/>
  <c r="K370" i="51"/>
  <c r="J370" i="51"/>
  <c r="L370" i="51" s="1"/>
  <c r="J380" i="51"/>
  <c r="K380" i="51"/>
  <c r="M380" i="51" s="1"/>
  <c r="O380" i="51" s="1"/>
  <c r="Q380" i="51" s="1"/>
  <c r="M383" i="51"/>
  <c r="O383" i="51" s="1"/>
  <c r="Q383" i="51" s="1"/>
  <c r="S383" i="51" s="1"/>
  <c r="O452" i="51"/>
  <c r="M451" i="51"/>
  <c r="P455" i="51"/>
  <c r="N454" i="51"/>
  <c r="N453" i="51" s="1"/>
  <c r="U677" i="51"/>
  <c r="N682" i="51"/>
  <c r="N681" i="51" s="1"/>
  <c r="L681" i="51"/>
  <c r="J122" i="51"/>
  <c r="J121" i="51" s="1"/>
  <c r="L123" i="51"/>
  <c r="O128" i="51"/>
  <c r="M127" i="51"/>
  <c r="M126" i="51" s="1"/>
  <c r="M125" i="51" s="1"/>
  <c r="M124" i="51" s="1"/>
  <c r="N161" i="51"/>
  <c r="N160" i="51" s="1"/>
  <c r="J231" i="51"/>
  <c r="T247" i="51"/>
  <c r="S246" i="51"/>
  <c r="X109" i="51"/>
  <c r="V108" i="51"/>
  <c r="V107" i="51" s="1"/>
  <c r="V106" i="51" s="1"/>
  <c r="R151" i="51"/>
  <c r="R131" i="51" s="1"/>
  <c r="R130" i="51" s="1"/>
  <c r="Q131" i="51"/>
  <c r="Q130" i="51" s="1"/>
  <c r="L245" i="51"/>
  <c r="Q245" i="51"/>
  <c r="M338" i="51"/>
  <c r="M337" i="51" s="1"/>
  <c r="O340" i="51"/>
  <c r="Q340" i="51" s="1"/>
  <c r="O368" i="51"/>
  <c r="Q368" i="51" s="1"/>
  <c r="T400" i="51"/>
  <c r="T394" i="51" s="1"/>
  <c r="T365" i="51" s="1"/>
  <c r="R365" i="51"/>
  <c r="R394" i="51"/>
  <c r="J446" i="51"/>
  <c r="O446" i="51"/>
  <c r="M454" i="51"/>
  <c r="M453" i="51" s="1"/>
  <c r="O455" i="51"/>
  <c r="L450" i="51"/>
  <c r="L445" i="51" s="1"/>
  <c r="L427" i="51" s="1"/>
  <c r="X502" i="51"/>
  <c r="O511" i="51"/>
  <c r="O535" i="51"/>
  <c r="Q535" i="51" s="1"/>
  <c r="O538" i="51"/>
  <c r="Q538" i="51" s="1"/>
  <c r="N553" i="51"/>
  <c r="R279" i="51"/>
  <c r="O267" i="51"/>
  <c r="Q267" i="51" s="1"/>
  <c r="S267" i="51" s="1"/>
  <c r="U267" i="51" s="1"/>
  <c r="W267" i="51" s="1"/>
  <c r="Y267" i="51" s="1"/>
  <c r="M265" i="51"/>
  <c r="N276" i="51"/>
  <c r="P276" i="51" s="1"/>
  <c r="T359" i="51"/>
  <c r="T358" i="51" s="1"/>
  <c r="R358" i="51"/>
  <c r="Q621" i="51"/>
  <c r="Q623" i="51"/>
  <c r="C65" i="15"/>
  <c r="V852" i="51"/>
  <c r="L891" i="51"/>
  <c r="N627" i="51"/>
  <c r="L17" i="51"/>
  <c r="L16" i="51" s="1"/>
  <c r="L15" i="51" s="1"/>
  <c r="O123" i="51"/>
  <c r="M122" i="51"/>
  <c r="M121" i="51" s="1"/>
  <c r="O221" i="51"/>
  <c r="T282" i="51"/>
  <c r="T281" i="51" s="1"/>
  <c r="R281" i="51"/>
  <c r="O472" i="51"/>
  <c r="Q472" i="51" s="1"/>
  <c r="O507" i="51"/>
  <c r="M506" i="51"/>
  <c r="L525" i="51"/>
  <c r="J524" i="51"/>
  <c r="S595" i="51"/>
  <c r="T595" i="51" s="1"/>
  <c r="N621" i="51"/>
  <c r="P621" i="51" s="1"/>
  <c r="M656" i="51"/>
  <c r="L656" i="51"/>
  <c r="L673" i="51"/>
  <c r="J671" i="51"/>
  <c r="K675" i="51"/>
  <c r="R721" i="51"/>
  <c r="Z860" i="51"/>
  <c r="X858" i="51"/>
  <c r="X857" i="51" s="1"/>
  <c r="G427" i="51"/>
  <c r="G334" i="51" s="1"/>
  <c r="N37" i="51"/>
  <c r="N36" i="51" s="1"/>
  <c r="K245" i="51"/>
  <c r="K255" i="51"/>
  <c r="M566" i="51"/>
  <c r="R643" i="51"/>
  <c r="J746" i="51"/>
  <c r="L746" i="51" s="1"/>
  <c r="M746" i="51"/>
  <c r="J465" i="51"/>
  <c r="I464" i="51"/>
  <c r="J464" i="51" s="1"/>
  <c r="U350" i="51"/>
  <c r="U336" i="51" s="1"/>
  <c r="W852" i="51"/>
  <c r="W809" i="51"/>
  <c r="W804" i="51" s="1"/>
  <c r="W803" i="51" s="1"/>
  <c r="R593" i="51"/>
  <c r="S593" i="51" s="1"/>
  <c r="P15" i="51"/>
  <c r="O101" i="51"/>
  <c r="O100" i="51" s="1"/>
  <c r="O108" i="51"/>
  <c r="O107" i="51" s="1"/>
  <c r="O106" i="51" s="1"/>
  <c r="I219" i="51"/>
  <c r="I161" i="51" s="1"/>
  <c r="I160" i="51" s="1"/>
  <c r="L219" i="51"/>
  <c r="L218" i="51" s="1"/>
  <c r="M748" i="51"/>
  <c r="M743" i="51" s="1"/>
  <c r="O749" i="51"/>
  <c r="S807" i="51"/>
  <c r="T807" i="51" s="1"/>
  <c r="J889" i="51"/>
  <c r="L889" i="51" s="1"/>
  <c r="K889" i="51"/>
  <c r="K904" i="51"/>
  <c r="J904" i="51"/>
  <c r="K961" i="51"/>
  <c r="J961" i="51"/>
  <c r="K975" i="51"/>
  <c r="L975" i="51"/>
  <c r="T602" i="51"/>
  <c r="Z856" i="51"/>
  <c r="Z854" i="51" s="1"/>
  <c r="X853" i="51"/>
  <c r="Z757" i="51"/>
  <c r="Z756" i="51" s="1"/>
  <c r="H100" i="51"/>
  <c r="J100" i="51" s="1"/>
  <c r="J101" i="51"/>
  <c r="O38" i="51"/>
  <c r="R38" i="51"/>
  <c r="K219" i="51"/>
  <c r="K161" i="51" s="1"/>
  <c r="K160" i="51" s="1"/>
  <c r="M245" i="51"/>
  <c r="R252" i="51"/>
  <c r="I262" i="51"/>
  <c r="O358" i="51"/>
  <c r="O365" i="51"/>
  <c r="I482" i="51"/>
  <c r="J512" i="51"/>
  <c r="J505" i="51" s="1"/>
  <c r="O809" i="51"/>
  <c r="S131" i="51"/>
  <c r="S130" i="51" s="1"/>
  <c r="U580" i="51"/>
  <c r="U531" i="51" s="1"/>
  <c r="Z213" i="51"/>
  <c r="Y596" i="51"/>
  <c r="C16" i="15" s="1"/>
  <c r="Z873" i="51"/>
  <c r="D64" i="15" s="1"/>
  <c r="Z53" i="51"/>
  <c r="Z394" i="51"/>
  <c r="Z365" i="51" s="1"/>
  <c r="J281" i="51"/>
  <c r="J280" i="51" s="1"/>
  <c r="O407" i="51"/>
  <c r="O406" i="51" s="1"/>
  <c r="R418" i="51"/>
  <c r="H450" i="51"/>
  <c r="H445" i="51" s="1"/>
  <c r="H427" i="51" s="1"/>
  <c r="M450" i="51"/>
  <c r="M445" i="51" s="1"/>
  <c r="M427" i="51" s="1"/>
  <c r="G468" i="51"/>
  <c r="J495" i="51"/>
  <c r="O526" i="51"/>
  <c r="O520" i="51" s="1"/>
  <c r="I531" i="51"/>
  <c r="Q531" i="51"/>
  <c r="R566" i="51"/>
  <c r="J566" i="51"/>
  <c r="T213" i="51"/>
  <c r="U852" i="51"/>
  <c r="M65" i="51"/>
  <c r="X689" i="51"/>
  <c r="Z299" i="51"/>
  <c r="Z285" i="51" s="1"/>
  <c r="O206" i="51"/>
  <c r="T708" i="51"/>
  <c r="J110" i="51"/>
  <c r="M110" i="51" s="1"/>
  <c r="P110" i="51" s="1"/>
  <c r="S221" i="51"/>
  <c r="U131" i="51"/>
  <c r="U130" i="51" s="1"/>
  <c r="U727" i="51"/>
  <c r="U804" i="51"/>
  <c r="U803" i="51" s="1"/>
  <c r="Z773" i="51"/>
  <c r="Z97" i="51"/>
  <c r="Z96" i="51" s="1"/>
  <c r="P450" i="51"/>
  <c r="P445" i="51" s="1"/>
  <c r="P427" i="51" s="1"/>
  <c r="S414" i="51"/>
  <c r="S407" i="51"/>
  <c r="S406" i="51" s="1"/>
  <c r="S394" i="51"/>
  <c r="S350" i="51"/>
  <c r="S336" i="51" s="1"/>
  <c r="U161" i="51"/>
  <c r="U160" i="51" s="1"/>
  <c r="L65" i="51"/>
  <c r="U407" i="51"/>
  <c r="U406" i="51" s="1"/>
  <c r="U699" i="51"/>
  <c r="Z689" i="51"/>
  <c r="W106" i="51"/>
  <c r="W407" i="51"/>
  <c r="W406" i="51" s="1"/>
  <c r="Y804" i="51"/>
  <c r="Y803" i="51" s="1"/>
  <c r="C37" i="15" s="1"/>
  <c r="Q634" i="51"/>
  <c r="T618" i="51"/>
  <c r="T613" i="51" s="1"/>
  <c r="L267" i="51"/>
  <c r="J265" i="51"/>
  <c r="J262" i="51" s="1"/>
  <c r="M993" i="51"/>
  <c r="Q565" i="51"/>
  <c r="T70" i="51"/>
  <c r="T69" i="51" s="1"/>
  <c r="R69" i="51"/>
  <c r="S545" i="51"/>
  <c r="R379" i="51"/>
  <c r="T379" i="51" s="1"/>
  <c r="P630" i="51"/>
  <c r="Z347" i="51"/>
  <c r="U346" i="51"/>
  <c r="R349" i="51"/>
  <c r="N339" i="51"/>
  <c r="P339" i="51" s="1"/>
  <c r="N274" i="51"/>
  <c r="W248" i="51"/>
  <c r="R375" i="51"/>
  <c r="T375" i="51" s="1"/>
  <c r="L13" i="51"/>
  <c r="L12" i="51" s="1"/>
  <c r="L11" i="51" s="1"/>
  <c r="P14" i="51"/>
  <c r="I37" i="51"/>
  <c r="I36" i="51" s="1"/>
  <c r="J38" i="51"/>
  <c r="L118" i="51"/>
  <c r="S252" i="51"/>
  <c r="O384" i="51"/>
  <c r="Q384" i="51" s="1"/>
  <c r="M367" i="51"/>
  <c r="M366" i="51" s="1"/>
  <c r="R437" i="51"/>
  <c r="P436" i="51"/>
  <c r="K477" i="51"/>
  <c r="M477" i="51" s="1"/>
  <c r="J477" i="51"/>
  <c r="J479" i="51"/>
  <c r="K479" i="51"/>
  <c r="L547" i="51"/>
  <c r="T852" i="51"/>
  <c r="R672" i="51"/>
  <c r="U863" i="51"/>
  <c r="V863" i="51" s="1"/>
  <c r="X632" i="51"/>
  <c r="Z633" i="51"/>
  <c r="Z632" i="51" s="1"/>
  <c r="L340" i="51"/>
  <c r="N340" i="51" s="1"/>
  <c r="J338" i="51"/>
  <c r="J337" i="51" s="1"/>
  <c r="N342" i="51"/>
  <c r="P342" i="51" s="1"/>
  <c r="O19" i="51"/>
  <c r="O17" i="51" s="1"/>
  <c r="O16" i="51" s="1"/>
  <c r="O15" i="51" s="1"/>
  <c r="M17" i="51"/>
  <c r="M16" i="51" s="1"/>
  <c r="M15" i="51" s="1"/>
  <c r="J81" i="51"/>
  <c r="J79" i="51" s="1"/>
  <c r="I79" i="51"/>
  <c r="Q266" i="51"/>
  <c r="Q488" i="51"/>
  <c r="L535" i="51"/>
  <c r="J533" i="51"/>
  <c r="J532" i="51" s="1"/>
  <c r="O537" i="51"/>
  <c r="M533" i="51"/>
  <c r="M532" i="51" s="1"/>
  <c r="N539" i="51"/>
  <c r="P539" i="51" s="1"/>
  <c r="O541" i="51"/>
  <c r="Q541" i="51" s="1"/>
  <c r="J97" i="51"/>
  <c r="I96" i="51"/>
  <c r="J96" i="51" s="1"/>
  <c r="K378" i="51"/>
  <c r="J378" i="51"/>
  <c r="R560" i="51"/>
  <c r="O672" i="51"/>
  <c r="M671" i="51"/>
  <c r="L90" i="51"/>
  <c r="L79" i="51" s="1"/>
  <c r="M90" i="51"/>
  <c r="M161" i="51"/>
  <c r="M160" i="51" s="1"/>
  <c r="J358" i="51"/>
  <c r="N373" i="51"/>
  <c r="J382" i="51"/>
  <c r="K382" i="51"/>
  <c r="R407" i="51"/>
  <c r="R406" i="51" s="1"/>
  <c r="T412" i="51"/>
  <c r="T407" i="51" s="1"/>
  <c r="T406" i="51" s="1"/>
  <c r="R446" i="51"/>
  <c r="O478" i="51"/>
  <c r="Q478" i="51" s="1"/>
  <c r="L481" i="51"/>
  <c r="J480" i="51"/>
  <c r="J643" i="51"/>
  <c r="S241" i="51"/>
  <c r="T241" i="51" s="1"/>
  <c r="T253" i="51"/>
  <c r="U253" i="51" s="1"/>
  <c r="L258" i="51"/>
  <c r="J257" i="51"/>
  <c r="J256" i="51" s="1"/>
  <c r="O261" i="51"/>
  <c r="Q261" i="51" s="1"/>
  <c r="K374" i="51"/>
  <c r="M374" i="51" s="1"/>
  <c r="K379" i="51"/>
  <c r="M379" i="51" s="1"/>
  <c r="L471" i="51"/>
  <c r="J470" i="51"/>
  <c r="J469" i="51" s="1"/>
  <c r="S504" i="51"/>
  <c r="T504" i="51" s="1"/>
  <c r="L561" i="51"/>
  <c r="J559" i="51"/>
  <c r="J558" i="51" s="1"/>
  <c r="V840" i="51"/>
  <c r="V804" i="51" s="1"/>
  <c r="V803" i="51" s="1"/>
  <c r="X842" i="51"/>
  <c r="Z842" i="51" s="1"/>
  <c r="Z840" i="51" s="1"/>
  <c r="J108" i="51"/>
  <c r="H107" i="51"/>
  <c r="H106" i="51" s="1"/>
  <c r="H10" i="51" s="1"/>
  <c r="L161" i="51"/>
  <c r="L160" i="51" s="1"/>
  <c r="H245" i="51"/>
  <c r="O245" i="51"/>
  <c r="O277" i="51"/>
  <c r="M273" i="51"/>
  <c r="M272" i="51" s="1"/>
  <c r="T298" i="51"/>
  <c r="U298" i="51" s="1"/>
  <c r="M345" i="51"/>
  <c r="M344" i="51" s="1"/>
  <c r="M343" i="51" s="1"/>
  <c r="O349" i="51"/>
  <c r="P368" i="51"/>
  <c r="J367" i="51"/>
  <c r="J366" i="51" s="1"/>
  <c r="N369" i="51"/>
  <c r="K371" i="51"/>
  <c r="J371" i="51"/>
  <c r="R456" i="51"/>
  <c r="R450" i="51" s="1"/>
  <c r="T457" i="51"/>
  <c r="R495" i="51"/>
  <c r="T498" i="51"/>
  <c r="T495" i="51" s="1"/>
  <c r="T468" i="51" s="1"/>
  <c r="I593" i="51"/>
  <c r="J594" i="51"/>
  <c r="J593" i="51" s="1"/>
  <c r="Z707" i="51"/>
  <c r="G15" i="51"/>
  <c r="K15" i="51"/>
  <c r="Q465" i="51"/>
  <c r="S161" i="51"/>
  <c r="S160" i="51" s="1"/>
  <c r="Q15" i="51"/>
  <c r="V708" i="51"/>
  <c r="V699" i="51" s="1"/>
  <c r="X709" i="51"/>
  <c r="T791" i="51"/>
  <c r="R779" i="51"/>
  <c r="J881" i="51"/>
  <c r="M881" i="51" s="1"/>
  <c r="X526" i="51"/>
  <c r="X520" i="51" s="1"/>
  <c r="V131" i="51"/>
  <c r="V130" i="51" s="1"/>
  <c r="T605" i="51"/>
  <c r="V610" i="51"/>
  <c r="S699" i="51"/>
  <c r="T103" i="51"/>
  <c r="T101" i="51" s="1"/>
  <c r="T100" i="51" s="1"/>
  <c r="R101" i="51"/>
  <c r="R100" i="51" s="1"/>
  <c r="Z755" i="51"/>
  <c r="Z753" i="51" s="1"/>
  <c r="X753" i="51"/>
  <c r="X727" i="51" s="1"/>
  <c r="S38" i="51"/>
  <c r="X50" i="51"/>
  <c r="X38" i="51" s="1"/>
  <c r="Z51" i="51"/>
  <c r="Z50" i="51" s="1"/>
  <c r="Z350" i="51"/>
  <c r="O804" i="51"/>
  <c r="O803" i="51" s="1"/>
  <c r="T56" i="51"/>
  <c r="T157" i="51"/>
  <c r="T131" i="51" s="1"/>
  <c r="T130" i="51" s="1"/>
  <c r="U31" i="51"/>
  <c r="Z795" i="51"/>
  <c r="X34" i="51"/>
  <c r="X31" i="51" s="1"/>
  <c r="X15" i="51" s="1"/>
  <c r="Z35" i="51"/>
  <c r="Y106" i="51"/>
  <c r="C59" i="15" s="1"/>
  <c r="C57" i="15" s="1"/>
  <c r="K804" i="51"/>
  <c r="K803" i="51" s="1"/>
  <c r="Y335" i="51"/>
  <c r="Z762" i="51"/>
  <c r="D29" i="15" s="1"/>
  <c r="L804" i="51"/>
  <c r="L803" i="51" s="1"/>
  <c r="X602" i="51"/>
  <c r="Z603" i="51"/>
  <c r="Z598" i="51"/>
  <c r="X597" i="51"/>
  <c r="X596" i="51" s="1"/>
  <c r="W161" i="51"/>
  <c r="W160" i="51" s="1"/>
  <c r="X110" i="51"/>
  <c r="Z111" i="51"/>
  <c r="Z110" i="51" s="1"/>
  <c r="C19" i="15"/>
  <c r="C18" i="15" s="1"/>
  <c r="Y431" i="51"/>
  <c r="Y531" i="51"/>
  <c r="C12" i="15" s="1"/>
  <c r="Z206" i="51"/>
  <c r="E72" i="15"/>
  <c r="E74" i="15" s="1"/>
  <c r="F8" i="55"/>
  <c r="E12" i="55"/>
  <c r="G9" i="55" s="1"/>
  <c r="G7" i="52"/>
  <c r="F8" i="52"/>
  <c r="G8" i="52"/>
  <c r="Y219" i="51"/>
  <c r="Y218" i="51" s="1"/>
  <c r="Y17" i="51"/>
  <c r="Y16" i="51" s="1"/>
  <c r="T117" i="51"/>
  <c r="Z69" i="51"/>
  <c r="Z157" i="51"/>
  <c r="Z131" i="51" s="1"/>
  <c r="Z130" i="51" s="1"/>
  <c r="S117" i="51"/>
  <c r="I15" i="51"/>
  <c r="J31" i="51"/>
  <c r="J15" i="51" s="1"/>
  <c r="M80" i="51"/>
  <c r="L80" i="51"/>
  <c r="Z65" i="51"/>
  <c r="Q118" i="51"/>
  <c r="V69" i="51"/>
  <c r="J32" i="51"/>
  <c r="V65" i="51"/>
  <c r="U816" i="51"/>
  <c r="V816" i="51" s="1"/>
  <c r="T814" i="51"/>
  <c r="U814" i="51" s="1"/>
  <c r="V814" i="51" s="1"/>
  <c r="U817" i="51"/>
  <c r="T818" i="51"/>
  <c r="U818" i="51" s="1"/>
  <c r="T808" i="51"/>
  <c r="U808" i="51" s="1"/>
  <c r="V824" i="51"/>
  <c r="W824" i="51" s="1"/>
  <c r="S819" i="51"/>
  <c r="T819" i="51" s="1"/>
  <c r="L822" i="51"/>
  <c r="N822" i="51" s="1"/>
  <c r="S815" i="51"/>
  <c r="T815" i="51" s="1"/>
  <c r="F9" i="55"/>
  <c r="F12" i="55" s="1"/>
  <c r="D71" i="50"/>
  <c r="D12" i="52"/>
  <c r="N145" i="56" l="1"/>
  <c r="N144" i="56" s="1"/>
  <c r="N933" i="51"/>
  <c r="Z161" i="51"/>
  <c r="L1000" i="51"/>
  <c r="L974" i="51"/>
  <c r="K501" i="56"/>
  <c r="N941" i="56"/>
  <c r="O941" i="56" s="1"/>
  <c r="N724" i="56"/>
  <c r="N698" i="56" s="1"/>
  <c r="D28" i="50" s="1"/>
  <c r="M719" i="56"/>
  <c r="M714" i="56" s="1"/>
  <c r="K647" i="56"/>
  <c r="N501" i="56"/>
  <c r="J314" i="56"/>
  <c r="J15" i="56"/>
  <c r="L948" i="51"/>
  <c r="O948" i="51" s="1"/>
  <c r="L550" i="51"/>
  <c r="L549" i="51" s="1"/>
  <c r="S483" i="51"/>
  <c r="Q680" i="51"/>
  <c r="S680" i="51" s="1"/>
  <c r="S679" i="51" s="1"/>
  <c r="M822" i="56"/>
  <c r="E37" i="50"/>
  <c r="E35" i="50" s="1"/>
  <c r="O762" i="56"/>
  <c r="N827" i="56"/>
  <c r="N826" i="56" s="1"/>
  <c r="C28" i="50"/>
  <c r="C37" i="50"/>
  <c r="C35" i="50" s="1"/>
  <c r="M762" i="56"/>
  <c r="E28" i="50"/>
  <c r="D52" i="50"/>
  <c r="N392" i="56"/>
  <c r="O822" i="56"/>
  <c r="C12" i="50"/>
  <c r="D27" i="46"/>
  <c r="L522" i="51"/>
  <c r="L521" i="51" s="1"/>
  <c r="O900" i="51"/>
  <c r="S467" i="51"/>
  <c r="S466" i="51" s="1"/>
  <c r="M949" i="51"/>
  <c r="P949" i="51" s="1"/>
  <c r="M989" i="51"/>
  <c r="O989" i="51" s="1"/>
  <c r="Y852" i="51"/>
  <c r="L930" i="51"/>
  <c r="O930" i="51" s="1"/>
  <c r="M1028" i="51"/>
  <c r="O1028" i="51" s="1"/>
  <c r="O737" i="51"/>
  <c r="O736" i="51" s="1"/>
  <c r="M937" i="51"/>
  <c r="M984" i="51"/>
  <c r="O984" i="51" s="1"/>
  <c r="L726" i="51"/>
  <c r="N911" i="51"/>
  <c r="P911" i="51" s="1"/>
  <c r="M953" i="51"/>
  <c r="O953" i="51" s="1"/>
  <c r="Q953" i="51" s="1"/>
  <c r="O605" i="51"/>
  <c r="M669" i="51"/>
  <c r="O669" i="51" s="1"/>
  <c r="O668" i="51" s="1"/>
  <c r="L260" i="51"/>
  <c r="L259" i="51" s="1"/>
  <c r="M918" i="51"/>
  <c r="O918" i="51" s="1"/>
  <c r="Q918" i="51" s="1"/>
  <c r="R669" i="51"/>
  <c r="R668" i="51" s="1"/>
  <c r="Q387" i="51"/>
  <c r="Q386" i="51" s="1"/>
  <c r="Q385" i="51" s="1"/>
  <c r="L970" i="51"/>
  <c r="N970" i="51" s="1"/>
  <c r="L960" i="51"/>
  <c r="O960" i="51" s="1"/>
  <c r="M926" i="51"/>
  <c r="O926" i="51" s="1"/>
  <c r="Q926" i="51" s="1"/>
  <c r="S219" i="51"/>
  <c r="S218" i="51" s="1"/>
  <c r="M908" i="51"/>
  <c r="O908" i="51" s="1"/>
  <c r="M1011" i="51"/>
  <c r="O1011" i="51" s="1"/>
  <c r="Q1011" i="51" s="1"/>
  <c r="S682" i="51"/>
  <c r="U682" i="51" s="1"/>
  <c r="U681" i="51" s="1"/>
  <c r="I129" i="51"/>
  <c r="I112" i="51" s="1"/>
  <c r="M1024" i="51"/>
  <c r="O1024" i="51" s="1"/>
  <c r="V770" i="51"/>
  <c r="V769" i="51" s="1"/>
  <c r="Y467" i="51"/>
  <c r="Y466" i="51" s="1"/>
  <c r="L1004" i="51"/>
  <c r="O1004" i="51" s="1"/>
  <c r="O917" i="51"/>
  <c r="Q917" i="51" s="1"/>
  <c r="L996" i="51"/>
  <c r="O996" i="51" s="1"/>
  <c r="L929" i="51"/>
  <c r="N929" i="51" s="1"/>
  <c r="P929" i="51" s="1"/>
  <c r="S37" i="51"/>
  <c r="U684" i="51"/>
  <c r="W684" i="51" s="1"/>
  <c r="Y684" i="51" s="1"/>
  <c r="P486" i="51"/>
  <c r="P485" i="51" s="1"/>
  <c r="J731" i="51"/>
  <c r="Q740" i="51"/>
  <c r="Q739" i="51" s="1"/>
  <c r="L667" i="51"/>
  <c r="L666" i="51" s="1"/>
  <c r="L665" i="51" s="1"/>
  <c r="L664" i="51" s="1"/>
  <c r="O445" i="51"/>
  <c r="O427" i="51" s="1"/>
  <c r="O997" i="51"/>
  <c r="W335" i="51"/>
  <c r="J468" i="51"/>
  <c r="J467" i="51" s="1"/>
  <c r="N1008" i="51"/>
  <c r="Q1008" i="51" s="1"/>
  <c r="L964" i="51"/>
  <c r="N964" i="51" s="1"/>
  <c r="N680" i="51"/>
  <c r="N679" i="51" s="1"/>
  <c r="M643" i="51"/>
  <c r="M913" i="51"/>
  <c r="O913" i="51" s="1"/>
  <c r="Q913" i="51" s="1"/>
  <c r="L483" i="51"/>
  <c r="L482" i="51" s="1"/>
  <c r="T779" i="51"/>
  <c r="M986" i="51"/>
  <c r="O986" i="51" s="1"/>
  <c r="K10" i="51"/>
  <c r="C45" i="15"/>
  <c r="L10" i="51"/>
  <c r="M963" i="51"/>
  <c r="O963" i="51" s="1"/>
  <c r="M934" i="51"/>
  <c r="O934" i="51" s="1"/>
  <c r="Q934" i="51" s="1"/>
  <c r="L263" i="51"/>
  <c r="M675" i="51"/>
  <c r="M936" i="51"/>
  <c r="O936" i="51" s="1"/>
  <c r="Y733" i="51"/>
  <c r="Y732" i="51" s="1"/>
  <c r="L882" i="51"/>
  <c r="O882" i="51" s="1"/>
  <c r="O468" i="51"/>
  <c r="O467" i="51" s="1"/>
  <c r="O466" i="51" s="1"/>
  <c r="L1033" i="51"/>
  <c r="N1033" i="51" s="1"/>
  <c r="P1033" i="51" s="1"/>
  <c r="M985" i="51"/>
  <c r="O985" i="51" s="1"/>
  <c r="Q985" i="51" s="1"/>
  <c r="O925" i="51"/>
  <c r="L987" i="51"/>
  <c r="O987" i="51" s="1"/>
  <c r="M1012" i="51"/>
  <c r="O1012" i="51" s="1"/>
  <c r="N944" i="51"/>
  <c r="P944" i="51" s="1"/>
  <c r="N900" i="51"/>
  <c r="P900" i="51" s="1"/>
  <c r="M1034" i="51"/>
  <c r="O1034" i="51" s="1"/>
  <c r="Q1034" i="51" s="1"/>
  <c r="M731" i="51"/>
  <c r="K305" i="51"/>
  <c r="M305" i="51"/>
  <c r="C47" i="15"/>
  <c r="L305" i="51"/>
  <c r="H305" i="51"/>
  <c r="J305" i="51" s="1"/>
  <c r="H308" i="51"/>
  <c r="J308" i="51" s="1"/>
  <c r="O305" i="51"/>
  <c r="U305" i="51"/>
  <c r="V305" i="51"/>
  <c r="W305" i="51"/>
  <c r="Q305" i="51"/>
  <c r="P305" i="51"/>
  <c r="N305" i="51"/>
  <c r="S305" i="51"/>
  <c r="N566" i="56"/>
  <c r="O566" i="56" s="1"/>
  <c r="N212" i="56"/>
  <c r="N427" i="56"/>
  <c r="M245" i="56"/>
  <c r="C47" i="50" s="1"/>
  <c r="M315" i="56"/>
  <c r="K100" i="56"/>
  <c r="J452" i="56"/>
  <c r="K476" i="56"/>
  <c r="C51" i="50"/>
  <c r="O71" i="56"/>
  <c r="O70" i="56" s="1"/>
  <c r="C51" i="15"/>
  <c r="O961" i="56"/>
  <c r="N270" i="56"/>
  <c r="O1001" i="56"/>
  <c r="M652" i="56"/>
  <c r="N384" i="56"/>
  <c r="N17" i="56"/>
  <c r="N16" i="56" s="1"/>
  <c r="N15" i="56" s="1"/>
  <c r="O897" i="56"/>
  <c r="M100" i="56"/>
  <c r="M99" i="56" s="1"/>
  <c r="M98" i="56" s="1"/>
  <c r="M97" i="56" s="1"/>
  <c r="N740" i="56"/>
  <c r="N316" i="56"/>
  <c r="O975" i="56"/>
  <c r="N953" i="56"/>
  <c r="O953" i="56" s="1"/>
  <c r="O957" i="56"/>
  <c r="N411" i="56"/>
  <c r="N410" i="56" s="1"/>
  <c r="N409" i="56" s="1"/>
  <c r="O505" i="56"/>
  <c r="N288" i="56"/>
  <c r="O288" i="56" s="1"/>
  <c r="N679" i="56"/>
  <c r="N670" i="56" s="1"/>
  <c r="N918" i="56"/>
  <c r="O918" i="56" s="1"/>
  <c r="N943" i="56"/>
  <c r="O943" i="56" s="1"/>
  <c r="O881" i="56"/>
  <c r="O787" i="56"/>
  <c r="J613" i="56"/>
  <c r="J574" i="56" s="1"/>
  <c r="J489" i="56" s="1"/>
  <c r="J702" i="56"/>
  <c r="N993" i="56"/>
  <c r="O993" i="56" s="1"/>
  <c r="Z597" i="51"/>
  <c r="Z596" i="51" s="1"/>
  <c r="D16" i="15" s="1"/>
  <c r="Z805" i="51"/>
  <c r="D55" i="15"/>
  <c r="Z602" i="51"/>
  <c r="D14" i="15"/>
  <c r="Z853" i="51"/>
  <c r="D52" i="15" s="1"/>
  <c r="N496" i="56"/>
  <c r="N490" i="56" s="1"/>
  <c r="D10" i="50" s="1"/>
  <c r="N925" i="56"/>
  <c r="O925" i="56" s="1"/>
  <c r="M656" i="56"/>
  <c r="M654" i="56" s="1"/>
  <c r="N908" i="56"/>
  <c r="O908" i="56" s="1"/>
  <c r="N797" i="56"/>
  <c r="O797" i="56" s="1"/>
  <c r="O315" i="56"/>
  <c r="N37" i="56"/>
  <c r="N36" i="56" s="1"/>
  <c r="J636" i="56"/>
  <c r="J635" i="56" s="1"/>
  <c r="O226" i="56"/>
  <c r="K490" i="56"/>
  <c r="J762" i="56"/>
  <c r="O856" i="56"/>
  <c r="O545" i="56"/>
  <c r="O536" i="56" s="1"/>
  <c r="O501" i="56" s="1"/>
  <c r="N365" i="56"/>
  <c r="N364" i="56" s="1"/>
  <c r="N363" i="56" s="1"/>
  <c r="M639" i="56"/>
  <c r="N511" i="56"/>
  <c r="J252" i="56"/>
  <c r="N506" i="56"/>
  <c r="O989" i="56"/>
  <c r="L813" i="56"/>
  <c r="K813" i="56"/>
  <c r="N910" i="56"/>
  <c r="O910" i="56" s="1"/>
  <c r="N890" i="56"/>
  <c r="O890" i="56" s="1"/>
  <c r="O935" i="56"/>
  <c r="N445" i="56"/>
  <c r="N440" i="56" s="1"/>
  <c r="N439" i="56" s="1"/>
  <c r="O325" i="56"/>
  <c r="O324" i="56" s="1"/>
  <c r="O323" i="56" s="1"/>
  <c r="N508" i="56"/>
  <c r="N446" i="56"/>
  <c r="D55" i="50"/>
  <c r="J35" i="56"/>
  <c r="E55" i="50"/>
  <c r="E51" i="50" s="1"/>
  <c r="M238" i="56"/>
  <c r="N238" i="56" s="1"/>
  <c r="O238" i="56" s="1"/>
  <c r="N773" i="56"/>
  <c r="N772" i="56" s="1"/>
  <c r="D14" i="50"/>
  <c r="O365" i="56"/>
  <c r="O364" i="56" s="1"/>
  <c r="O363" i="56" s="1"/>
  <c r="N512" i="56"/>
  <c r="N357" i="56"/>
  <c r="C48" i="50"/>
  <c r="Z414" i="51"/>
  <c r="M1006" i="51"/>
  <c r="O1006" i="51" s="1"/>
  <c r="M978" i="51"/>
  <c r="O978" i="51" s="1"/>
  <c r="U525" i="51"/>
  <c r="U524" i="51" s="1"/>
  <c r="H726" i="51"/>
  <c r="V37" i="51"/>
  <c r="Q264" i="51"/>
  <c r="S264" i="51" s="1"/>
  <c r="V335" i="51"/>
  <c r="N901" i="51"/>
  <c r="P901" i="51" s="1"/>
  <c r="N907" i="51"/>
  <c r="P907" i="51" s="1"/>
  <c r="M884" i="51"/>
  <c r="O884" i="51" s="1"/>
  <c r="Q884" i="51" s="1"/>
  <c r="L952" i="51"/>
  <c r="O952" i="51" s="1"/>
  <c r="J219" i="51"/>
  <c r="J161" i="51" s="1"/>
  <c r="J160" i="51" s="1"/>
  <c r="M942" i="51"/>
  <c r="O942" i="51" s="1"/>
  <c r="Q942" i="51" s="1"/>
  <c r="J466" i="51"/>
  <c r="G518" i="51"/>
  <c r="V434" i="51"/>
  <c r="X434" i="51" s="1"/>
  <c r="Z434" i="51" s="1"/>
  <c r="Z433" i="51" s="1"/>
  <c r="Z432" i="51" s="1"/>
  <c r="N922" i="51"/>
  <c r="P922" i="51" s="1"/>
  <c r="I726" i="51"/>
  <c r="K334" i="51"/>
  <c r="J414" i="51"/>
  <c r="Z845" i="51"/>
  <c r="Z844" i="51" s="1"/>
  <c r="Z843" i="51" s="1"/>
  <c r="D38" i="15" s="1"/>
  <c r="L998" i="51"/>
  <c r="N998" i="51" s="1"/>
  <c r="P998" i="51" s="1"/>
  <c r="O821" i="51"/>
  <c r="Q821" i="51" s="1"/>
  <c r="R821" i="51" s="1"/>
  <c r="L878" i="51"/>
  <c r="N878" i="51" s="1"/>
  <c r="L994" i="51"/>
  <c r="N994" i="51" s="1"/>
  <c r="L914" i="51"/>
  <c r="N914" i="51" s="1"/>
  <c r="P914" i="51" s="1"/>
  <c r="N925" i="51"/>
  <c r="P925" i="51" s="1"/>
  <c r="Q676" i="51"/>
  <c r="M943" i="51"/>
  <c r="P943" i="51" s="1"/>
  <c r="V698" i="51"/>
  <c r="U540" i="51"/>
  <c r="W540" i="51" s="1"/>
  <c r="Y540" i="51" s="1"/>
  <c r="M1007" i="51"/>
  <c r="P1007" i="51" s="1"/>
  <c r="J768" i="51"/>
  <c r="M979" i="51"/>
  <c r="O979" i="51" s="1"/>
  <c r="Q979" i="51" s="1"/>
  <c r="R468" i="51"/>
  <c r="R467" i="51" s="1"/>
  <c r="R466" i="51" s="1"/>
  <c r="J36" i="51"/>
  <c r="M938" i="51"/>
  <c r="P938" i="51" s="1"/>
  <c r="R37" i="51"/>
  <c r="V849" i="51"/>
  <c r="W849" i="51" s="1"/>
  <c r="W848" i="51" s="1"/>
  <c r="L1018" i="51"/>
  <c r="O1018" i="51" s="1"/>
  <c r="T848" i="51"/>
  <c r="U372" i="51"/>
  <c r="W372" i="51" s="1"/>
  <c r="Y372" i="51" s="1"/>
  <c r="L971" i="51"/>
  <c r="N971" i="51" s="1"/>
  <c r="P971" i="51" s="1"/>
  <c r="K666" i="51"/>
  <c r="L951" i="51"/>
  <c r="N951" i="51" s="1"/>
  <c r="P951" i="51" s="1"/>
  <c r="O970" i="51"/>
  <c r="Q970" i="51" s="1"/>
  <c r="P735" i="51"/>
  <c r="P734" i="51" s="1"/>
  <c r="T15" i="51"/>
  <c r="M921" i="51"/>
  <c r="O921" i="51" s="1"/>
  <c r="O280" i="51"/>
  <c r="O255" i="51" s="1"/>
  <c r="N887" i="51"/>
  <c r="P887" i="51" s="1"/>
  <c r="N990" i="51"/>
  <c r="N1023" i="51"/>
  <c r="G1082" i="51"/>
  <c r="N957" i="51"/>
  <c r="P957" i="51" s="1"/>
  <c r="K519" i="51"/>
  <c r="N726" i="51"/>
  <c r="P823" i="51"/>
  <c r="J482" i="51"/>
  <c r="Q732" i="51"/>
  <c r="M959" i="51"/>
  <c r="O959" i="51" s="1"/>
  <c r="Q959" i="51" s="1"/>
  <c r="N1019" i="51"/>
  <c r="P1019" i="51" s="1"/>
  <c r="L387" i="51"/>
  <c r="L386" i="51" s="1"/>
  <c r="L385" i="51" s="1"/>
  <c r="M962" i="51"/>
  <c r="O962" i="51" s="1"/>
  <c r="M954" i="51"/>
  <c r="M946" i="51"/>
  <c r="O946" i="51" s="1"/>
  <c r="N931" i="51"/>
  <c r="L967" i="51"/>
  <c r="O967" i="51" s="1"/>
  <c r="L898" i="51"/>
  <c r="O898" i="51" s="1"/>
  <c r="O1029" i="51"/>
  <c r="O726" i="51"/>
  <c r="P726" i="51"/>
  <c r="O675" i="51"/>
  <c r="R478" i="51"/>
  <c r="T478" i="51" s="1"/>
  <c r="Q726" i="51"/>
  <c r="O643" i="51"/>
  <c r="Q647" i="51"/>
  <c r="Q643" i="51" s="1"/>
  <c r="P647" i="51"/>
  <c r="P643" i="51" s="1"/>
  <c r="O377" i="51"/>
  <c r="Q377" i="51" s="1"/>
  <c r="S377" i="51" s="1"/>
  <c r="N895" i="51"/>
  <c r="M990" i="51"/>
  <c r="O990" i="51" s="1"/>
  <c r="J744" i="51"/>
  <c r="X852" i="51"/>
  <c r="J804" i="51"/>
  <c r="J803" i="51" s="1"/>
  <c r="J793" i="51" s="1"/>
  <c r="M890" i="51"/>
  <c r="O890" i="51" s="1"/>
  <c r="K726" i="51"/>
  <c r="J665" i="51"/>
  <c r="J664" i="51" s="1"/>
  <c r="I519" i="51"/>
  <c r="O941" i="51"/>
  <c r="M877" i="51"/>
  <c r="L877" i="51"/>
  <c r="T804" i="51"/>
  <c r="T803" i="51" s="1"/>
  <c r="Q933" i="51"/>
  <c r="M902" i="51"/>
  <c r="O902" i="51" s="1"/>
  <c r="T467" i="51"/>
  <c r="T466" i="51" s="1"/>
  <c r="L966" i="51"/>
  <c r="O966" i="51" s="1"/>
  <c r="P953" i="51"/>
  <c r="R953" i="51" s="1"/>
  <c r="N387" i="51"/>
  <c r="N386" i="51" s="1"/>
  <c r="N385" i="51" s="1"/>
  <c r="N129" i="51"/>
  <c r="J847" i="51"/>
  <c r="L954" i="51"/>
  <c r="N383" i="51"/>
  <c r="P383" i="51" s="1"/>
  <c r="M973" i="51"/>
  <c r="O973" i="51" s="1"/>
  <c r="M893" i="51"/>
  <c r="N947" i="51"/>
  <c r="N606" i="51"/>
  <c r="N941" i="51"/>
  <c r="L745" i="51"/>
  <c r="N745" i="51" s="1"/>
  <c r="Z38" i="51"/>
  <c r="Z37" i="51" s="1"/>
  <c r="D49" i="15" s="1"/>
  <c r="N334" i="51"/>
  <c r="U732" i="51"/>
  <c r="M1014" i="51"/>
  <c r="O1014" i="51" s="1"/>
  <c r="S732" i="51"/>
  <c r="M983" i="51"/>
  <c r="O983" i="51" s="1"/>
  <c r="Q983" i="51" s="1"/>
  <c r="I804" i="51"/>
  <c r="I803" i="51" s="1"/>
  <c r="I793" i="51" s="1"/>
  <c r="O793" i="51"/>
  <c r="J531" i="51"/>
  <c r="J670" i="51"/>
  <c r="J663" i="51" s="1"/>
  <c r="S643" i="51"/>
  <c r="N905" i="51"/>
  <c r="Q905" i="51" s="1"/>
  <c r="L945" i="51"/>
  <c r="N945" i="51" s="1"/>
  <c r="N1029" i="51"/>
  <c r="W373" i="51"/>
  <c r="Y373" i="51" s="1"/>
  <c r="U542" i="51"/>
  <c r="U557" i="51"/>
  <c r="W557" i="51" s="1"/>
  <c r="W339" i="51"/>
  <c r="Y339" i="51" s="1"/>
  <c r="R538" i="51"/>
  <c r="T538" i="51" s="1"/>
  <c r="V538" i="51" s="1"/>
  <c r="R794" i="51"/>
  <c r="T631" i="51"/>
  <c r="T629" i="51" s="1"/>
  <c r="S629" i="51"/>
  <c r="J601" i="51"/>
  <c r="M1023" i="51"/>
  <c r="O1023" i="51" s="1"/>
  <c r="P334" i="51"/>
  <c r="K129" i="51"/>
  <c r="P10" i="51"/>
  <c r="L1021" i="51"/>
  <c r="N1021" i="51" s="1"/>
  <c r="T463" i="51"/>
  <c r="U463" i="51" s="1"/>
  <c r="M895" i="51"/>
  <c r="O895" i="51" s="1"/>
  <c r="L739" i="51"/>
  <c r="L736" i="51" s="1"/>
  <c r="O670" i="51"/>
  <c r="O663" i="51" s="1"/>
  <c r="N1020" i="51"/>
  <c r="M977" i="51"/>
  <c r="M950" i="51"/>
  <c r="O950" i="51" s="1"/>
  <c r="M923" i="51"/>
  <c r="O923" i="51" s="1"/>
  <c r="M991" i="51"/>
  <c r="O991" i="51" s="1"/>
  <c r="O932" i="51"/>
  <c r="M726" i="51"/>
  <c r="Q908" i="51"/>
  <c r="J255" i="51"/>
  <c r="L685" i="51"/>
  <c r="L683" i="51" s="1"/>
  <c r="L675" i="51" s="1"/>
  <c r="K744" i="51"/>
  <c r="R372" i="51"/>
  <c r="T372" i="51" s="1"/>
  <c r="Q543" i="51"/>
  <c r="S544" i="51"/>
  <c r="S17" i="51"/>
  <c r="S16" i="51" s="1"/>
  <c r="S15" i="51" s="1"/>
  <c r="Z336" i="51"/>
  <c r="O37" i="51"/>
  <c r="O36" i="51" s="1"/>
  <c r="O10" i="51" s="1"/>
  <c r="L334" i="51"/>
  <c r="M927" i="51"/>
  <c r="P927" i="51" s="1"/>
  <c r="N997" i="51"/>
  <c r="P997" i="51" s="1"/>
  <c r="L956" i="51"/>
  <c r="O956" i="51" s="1"/>
  <c r="N902" i="51"/>
  <c r="M880" i="51"/>
  <c r="O880" i="51" s="1"/>
  <c r="O1019" i="51"/>
  <c r="M1031" i="51"/>
  <c r="O1031" i="51" s="1"/>
  <c r="N10" i="51"/>
  <c r="N1001" i="51"/>
  <c r="S341" i="51"/>
  <c r="U341" i="51" s="1"/>
  <c r="W341" i="51" s="1"/>
  <c r="Y341" i="51" s="1"/>
  <c r="U631" i="51"/>
  <c r="U629" i="51" s="1"/>
  <c r="R245" i="51"/>
  <c r="D43" i="15"/>
  <c r="W15" i="51"/>
  <c r="R336" i="51"/>
  <c r="R335" i="51" s="1"/>
  <c r="J37" i="51"/>
  <c r="R414" i="51"/>
  <c r="T336" i="51"/>
  <c r="T335" i="51" s="1"/>
  <c r="L367" i="51"/>
  <c r="L366" i="51" s="1"/>
  <c r="U471" i="51"/>
  <c r="W471" i="51" s="1"/>
  <c r="N474" i="51"/>
  <c r="P474" i="51" s="1"/>
  <c r="W556" i="51"/>
  <c r="Y556" i="51" s="1"/>
  <c r="T727" i="51"/>
  <c r="P822" i="51"/>
  <c r="N1014" i="51"/>
  <c r="Q120" i="51"/>
  <c r="Q119" i="51" s="1"/>
  <c r="Q116" i="51" s="1"/>
  <c r="Q115" i="51" s="1"/>
  <c r="Q114" i="51" s="1"/>
  <c r="M334" i="51"/>
  <c r="W859" i="51"/>
  <c r="X859" i="51" s="1"/>
  <c r="Y859" i="51" s="1"/>
  <c r="Z859" i="51" s="1"/>
  <c r="M924" i="51"/>
  <c r="O924" i="51" s="1"/>
  <c r="J675" i="51"/>
  <c r="M916" i="51"/>
  <c r="O916" i="51" s="1"/>
  <c r="R684" i="51"/>
  <c r="T684" i="51" s="1"/>
  <c r="O823" i="51"/>
  <c r="Q823" i="51" s="1"/>
  <c r="L793" i="51"/>
  <c r="R768" i="51"/>
  <c r="T767" i="51"/>
  <c r="T765" i="51" s="1"/>
  <c r="T764" i="51" s="1"/>
  <c r="M262" i="51"/>
  <c r="M1020" i="51"/>
  <c r="O1020" i="51" s="1"/>
  <c r="M482" i="51"/>
  <c r="J727" i="51"/>
  <c r="M375" i="51"/>
  <c r="J113" i="51"/>
  <c r="Z280" i="51"/>
  <c r="Z255" i="51" s="1"/>
  <c r="R531" i="51"/>
  <c r="Z858" i="51"/>
  <c r="Z857" i="51" s="1"/>
  <c r="D54" i="15" s="1"/>
  <c r="N886" i="51"/>
  <c r="P886" i="51" s="1"/>
  <c r="O376" i="51"/>
  <c r="Q376" i="51" s="1"/>
  <c r="N519" i="51"/>
  <c r="M897" i="51"/>
  <c r="O897" i="51" s="1"/>
  <c r="N906" i="51"/>
  <c r="M894" i="51"/>
  <c r="O894" i="51" s="1"/>
  <c r="M1025" i="51"/>
  <c r="N1025" i="51"/>
  <c r="S735" i="51"/>
  <c r="Q734" i="51"/>
  <c r="N928" i="51"/>
  <c r="U342" i="51"/>
  <c r="W342" i="51" s="1"/>
  <c r="Y342" i="51" s="1"/>
  <c r="J245" i="51"/>
  <c r="R161" i="51"/>
  <c r="R160" i="51" s="1"/>
  <c r="M947" i="51"/>
  <c r="O947" i="51" s="1"/>
  <c r="P970" i="51"/>
  <c r="M931" i="51"/>
  <c r="O300" i="51"/>
  <c r="Q300" i="51" s="1"/>
  <c r="P300" i="51"/>
  <c r="N737" i="51"/>
  <c r="P738" i="51"/>
  <c r="O911" i="51"/>
  <c r="M1003" i="51"/>
  <c r="N1009" i="51"/>
  <c r="N932" i="51"/>
  <c r="P932" i="51" s="1"/>
  <c r="K875" i="51"/>
  <c r="K874" i="51" s="1"/>
  <c r="M935" i="51"/>
  <c r="O935" i="51" s="1"/>
  <c r="M113" i="51"/>
  <c r="O820" i="51"/>
  <c r="Q820" i="51" s="1"/>
  <c r="O886" i="51"/>
  <c r="M969" i="51"/>
  <c r="M958" i="51"/>
  <c r="P618" i="51"/>
  <c r="P610" i="51" s="1"/>
  <c r="P608" i="51" s="1"/>
  <c r="N610" i="51"/>
  <c r="N608" i="51" s="1"/>
  <c r="R14" i="51"/>
  <c r="N13" i="51"/>
  <c r="N12" i="51" s="1"/>
  <c r="N11" i="51" s="1"/>
  <c r="Q523" i="51"/>
  <c r="M1015" i="51"/>
  <c r="N687" i="51"/>
  <c r="P688" i="51"/>
  <c r="M1013" i="51"/>
  <c r="M976" i="51"/>
  <c r="O957" i="51"/>
  <c r="M928" i="51"/>
  <c r="O928" i="51" s="1"/>
  <c r="V777" i="51"/>
  <c r="T776" i="51"/>
  <c r="P733" i="51"/>
  <c r="N732" i="51"/>
  <c r="N731" i="51" s="1"/>
  <c r="O257" i="51"/>
  <c r="O256" i="51" s="1"/>
  <c r="Q258" i="51"/>
  <c r="L1005" i="51"/>
  <c r="S730" i="51"/>
  <c r="M1001" i="51"/>
  <c r="O1001" i="51" s="1"/>
  <c r="R15" i="51"/>
  <c r="S534" i="51"/>
  <c r="U534" i="51" s="1"/>
  <c r="S536" i="51"/>
  <c r="U536" i="51" s="1"/>
  <c r="W536" i="51" s="1"/>
  <c r="Y536" i="51" s="1"/>
  <c r="N988" i="51"/>
  <c r="N923" i="51"/>
  <c r="N991" i="51"/>
  <c r="W697" i="51"/>
  <c r="N912" i="51"/>
  <c r="S475" i="51"/>
  <c r="U475" i="51" s="1"/>
  <c r="R546" i="51"/>
  <c r="T546" i="51" s="1"/>
  <c r="V546" i="51" s="1"/>
  <c r="X546" i="51" s="1"/>
  <c r="Z546" i="51" s="1"/>
  <c r="N1031" i="51"/>
  <c r="P542" i="51"/>
  <c r="R542" i="51" s="1"/>
  <c r="S13" i="51"/>
  <c r="S12" i="51" s="1"/>
  <c r="S11" i="51" s="1"/>
  <c r="W14" i="51"/>
  <c r="W13" i="51" s="1"/>
  <c r="W12" i="51" s="1"/>
  <c r="W11" i="51" s="1"/>
  <c r="N544" i="51"/>
  <c r="L543" i="51"/>
  <c r="T531" i="51"/>
  <c r="O559" i="51"/>
  <c r="O558" i="51" s="1"/>
  <c r="L1032" i="51"/>
  <c r="N1032" i="51" s="1"/>
  <c r="P1032" i="51" s="1"/>
  <c r="L976" i="51"/>
  <c r="N977" i="51"/>
  <c r="W686" i="51"/>
  <c r="W685" i="51" s="1"/>
  <c r="W683" i="51" s="1"/>
  <c r="M1016" i="51"/>
  <c r="M883" i="51"/>
  <c r="O883" i="51" s="1"/>
  <c r="J858" i="51"/>
  <c r="J857" i="51" s="1"/>
  <c r="J852" i="51" s="1"/>
  <c r="M919" i="51"/>
  <c r="P919" i="51" s="1"/>
  <c r="M939" i="51"/>
  <c r="O939" i="51" s="1"/>
  <c r="O907" i="51"/>
  <c r="S794" i="51"/>
  <c r="S793" i="51" s="1"/>
  <c r="J462" i="51"/>
  <c r="J450" i="51" s="1"/>
  <c r="J445" i="51" s="1"/>
  <c r="N894" i="51"/>
  <c r="M955" i="51"/>
  <c r="N955" i="51"/>
  <c r="N548" i="51"/>
  <c r="P548" i="51" s="1"/>
  <c r="R548" i="51" s="1"/>
  <c r="T548" i="51" s="1"/>
  <c r="V548" i="51" s="1"/>
  <c r="X548" i="51" s="1"/>
  <c r="Z548" i="51" s="1"/>
  <c r="M920" i="51"/>
  <c r="M981" i="51"/>
  <c r="N981" i="51"/>
  <c r="N973" i="51"/>
  <c r="L1027" i="51"/>
  <c r="M1027" i="51"/>
  <c r="N506" i="51"/>
  <c r="M1002" i="51"/>
  <c r="L1002" i="51"/>
  <c r="L909" i="51"/>
  <c r="N909" i="51" s="1"/>
  <c r="M909" i="51"/>
  <c r="K793" i="51"/>
  <c r="S245" i="51"/>
  <c r="Q13" i="51"/>
  <c r="Q12" i="51" s="1"/>
  <c r="Q11" i="51" s="1"/>
  <c r="S685" i="51"/>
  <c r="S683" i="51" s="1"/>
  <c r="R219" i="51"/>
  <c r="R218" i="51" s="1"/>
  <c r="L1013" i="51"/>
  <c r="M980" i="51"/>
  <c r="L980" i="51"/>
  <c r="O972" i="51"/>
  <c r="L965" i="51"/>
  <c r="N965" i="51" s="1"/>
  <c r="M965" i="51"/>
  <c r="M879" i="51"/>
  <c r="L879" i="51"/>
  <c r="L910" i="51"/>
  <c r="N910" i="51" s="1"/>
  <c r="M910" i="51"/>
  <c r="M915" i="51"/>
  <c r="L915" i="51"/>
  <c r="N915" i="51" s="1"/>
  <c r="U653" i="51"/>
  <c r="V653" i="51" s="1"/>
  <c r="Z575" i="51"/>
  <c r="X531" i="51"/>
  <c r="N263" i="51"/>
  <c r="P264" i="51"/>
  <c r="M968" i="51"/>
  <c r="L968" i="51"/>
  <c r="N897" i="51"/>
  <c r="L127" i="51"/>
  <c r="L126" i="51" s="1"/>
  <c r="L125" i="51" s="1"/>
  <c r="L124" i="51" s="1"/>
  <c r="N128" i="51"/>
  <c r="M476" i="51"/>
  <c r="O476" i="51" s="1"/>
  <c r="N522" i="51"/>
  <c r="N521" i="51" s="1"/>
  <c r="M912" i="51"/>
  <c r="L1017" i="51"/>
  <c r="M1017" i="51"/>
  <c r="N451" i="51"/>
  <c r="P452" i="51"/>
  <c r="J107" i="51"/>
  <c r="Q10" i="51"/>
  <c r="G10" i="51"/>
  <c r="O485" i="51"/>
  <c r="O482" i="51" s="1"/>
  <c r="H334" i="51"/>
  <c r="O219" i="51"/>
  <c r="O218" i="51" s="1"/>
  <c r="L531" i="51"/>
  <c r="L519" i="51" s="1"/>
  <c r="L892" i="51"/>
  <c r="O892" i="51" s="1"/>
  <c r="V15" i="51"/>
  <c r="H519" i="51"/>
  <c r="L620" i="51"/>
  <c r="L619" i="51" s="1"/>
  <c r="L958" i="51"/>
  <c r="N958" i="51" s="1"/>
  <c r="R727" i="51"/>
  <c r="M1009" i="51"/>
  <c r="N972" i="51"/>
  <c r="P820" i="51"/>
  <c r="S694" i="51"/>
  <c r="S670" i="51" s="1"/>
  <c r="S663" i="51" s="1"/>
  <c r="U695" i="51"/>
  <c r="N472" i="51"/>
  <c r="P472" i="51" s="1"/>
  <c r="O414" i="51"/>
  <c r="M906" i="51"/>
  <c r="O906" i="51" s="1"/>
  <c r="N890" i="51"/>
  <c r="P523" i="51"/>
  <c r="R523" i="51" s="1"/>
  <c r="L969" i="51"/>
  <c r="L506" i="51"/>
  <c r="I95" i="51"/>
  <c r="J95" i="51" s="1"/>
  <c r="U807" i="51"/>
  <c r="V807" i="51" s="1"/>
  <c r="W807" i="51" s="1"/>
  <c r="U15" i="51"/>
  <c r="L110" i="51"/>
  <c r="N1010" i="51"/>
  <c r="O480" i="51"/>
  <c r="N916" i="51"/>
  <c r="L119" i="51"/>
  <c r="L116" i="51" s="1"/>
  <c r="L115" i="51" s="1"/>
  <c r="L114" i="51" s="1"/>
  <c r="N120" i="51"/>
  <c r="P933" i="51"/>
  <c r="S335" i="51"/>
  <c r="P682" i="51"/>
  <c r="R682" i="51" s="1"/>
  <c r="T682" i="51" s="1"/>
  <c r="M1026" i="51"/>
  <c r="N1022" i="51"/>
  <c r="N888" i="51"/>
  <c r="T801" i="51"/>
  <c r="U801" i="51" s="1"/>
  <c r="U800" i="51" s="1"/>
  <c r="Q546" i="51"/>
  <c r="S546" i="51" s="1"/>
  <c r="U546" i="51" s="1"/>
  <c r="W546" i="51" s="1"/>
  <c r="Y546" i="51" s="1"/>
  <c r="J440" i="51"/>
  <c r="J439" i="51" s="1"/>
  <c r="I439" i="51"/>
  <c r="I427" i="51" s="1"/>
  <c r="I334" i="51" s="1"/>
  <c r="N935" i="51"/>
  <c r="J336" i="51"/>
  <c r="J335" i="51" s="1"/>
  <c r="O944" i="51"/>
  <c r="X37" i="51"/>
  <c r="K665" i="51"/>
  <c r="K664" i="51" s="1"/>
  <c r="N982" i="51"/>
  <c r="N899" i="51"/>
  <c r="L376" i="51"/>
  <c r="Q481" i="51"/>
  <c r="N346" i="51"/>
  <c r="L345" i="51"/>
  <c r="L344" i="51" s="1"/>
  <c r="L343" i="51" s="1"/>
  <c r="M129" i="51"/>
  <c r="U335" i="51"/>
  <c r="L1030" i="51"/>
  <c r="O1030" i="51" s="1"/>
  <c r="M995" i="51"/>
  <c r="T699" i="51"/>
  <c r="T670" i="51" s="1"/>
  <c r="Z520" i="51"/>
  <c r="T798" i="51"/>
  <c r="U799" i="51"/>
  <c r="U763" i="51"/>
  <c r="T669" i="51"/>
  <c r="V669" i="51" s="1"/>
  <c r="Y15" i="51"/>
  <c r="T37" i="51"/>
  <c r="Z95" i="51"/>
  <c r="U279" i="51"/>
  <c r="W279" i="51" s="1"/>
  <c r="Y279" i="51" s="1"/>
  <c r="P280" i="51"/>
  <c r="P255" i="51" s="1"/>
  <c r="P129" i="51" s="1"/>
  <c r="R296" i="51"/>
  <c r="T377" i="51"/>
  <c r="V377" i="51" s="1"/>
  <c r="O338" i="51"/>
  <c r="O337" i="51" s="1"/>
  <c r="R278" i="51"/>
  <c r="T278" i="51" s="1"/>
  <c r="M428" i="51"/>
  <c r="L428" i="51"/>
  <c r="X433" i="51"/>
  <c r="X432" i="51" s="1"/>
  <c r="X431" i="51" s="1"/>
  <c r="M995" i="56"/>
  <c r="N995" i="56" s="1"/>
  <c r="O995" i="56" s="1"/>
  <c r="M792" i="56"/>
  <c r="N792" i="56" s="1"/>
  <c r="O792" i="56" s="1"/>
  <c r="N894" i="56"/>
  <c r="O894" i="56" s="1"/>
  <c r="N924" i="56"/>
  <c r="O924" i="56" s="1"/>
  <c r="N967" i="56"/>
  <c r="O967" i="56" s="1"/>
  <c r="N988" i="56"/>
  <c r="O988" i="56" s="1"/>
  <c r="N843" i="56"/>
  <c r="O843" i="56" s="1"/>
  <c r="N835" i="56"/>
  <c r="O835" i="56" s="1"/>
  <c r="N930" i="56"/>
  <c r="O930" i="56" s="1"/>
  <c r="M902" i="56"/>
  <c r="N902" i="56" s="1"/>
  <c r="O902" i="56" s="1"/>
  <c r="N791" i="56"/>
  <c r="O791" i="56" s="1"/>
  <c r="N986" i="56"/>
  <c r="O986" i="56" s="1"/>
  <c r="N747" i="56"/>
  <c r="N850" i="56"/>
  <c r="O850" i="56" s="1"/>
  <c r="J697" i="56"/>
  <c r="O416" i="56"/>
  <c r="M365" i="56"/>
  <c r="M364" i="56" s="1"/>
  <c r="M363" i="56" s="1"/>
  <c r="O888" i="56"/>
  <c r="N354" i="56"/>
  <c r="N321" i="56"/>
  <c r="N318" i="56" s="1"/>
  <c r="N317" i="56" s="1"/>
  <c r="O143" i="56"/>
  <c r="O141" i="56" s="1"/>
  <c r="N141" i="56"/>
  <c r="K318" i="56"/>
  <c r="N883" i="56"/>
  <c r="O883" i="56" s="1"/>
  <c r="O831" i="56"/>
  <c r="M15" i="56"/>
  <c r="N452" i="56"/>
  <c r="J707" i="56"/>
  <c r="O476" i="56"/>
  <c r="N796" i="56"/>
  <c r="O796" i="56" s="1"/>
  <c r="O590" i="56"/>
  <c r="O966" i="56"/>
  <c r="N946" i="56"/>
  <c r="O946" i="56" s="1"/>
  <c r="O668" i="56"/>
  <c r="N352" i="56"/>
  <c r="N350" i="56"/>
  <c r="L524" i="56"/>
  <c r="L476" i="56"/>
  <c r="N481" i="56"/>
  <c r="N476" i="56" s="1"/>
  <c r="L211" i="56"/>
  <c r="K211" i="56"/>
  <c r="M234" i="56"/>
  <c r="M955" i="56"/>
  <c r="N955" i="56" s="1"/>
  <c r="O955" i="56" s="1"/>
  <c r="M895" i="56"/>
  <c r="N895" i="56" s="1"/>
  <c r="O895" i="56" s="1"/>
  <c r="M857" i="56"/>
  <c r="N857" i="56" s="1"/>
  <c r="O857" i="56" s="1"/>
  <c r="N836" i="56"/>
  <c r="O836" i="56" s="1"/>
  <c r="N786" i="56"/>
  <c r="O786" i="56" s="1"/>
  <c r="N972" i="56"/>
  <c r="O972" i="56" s="1"/>
  <c r="M938" i="56"/>
  <c r="N938" i="56" s="1"/>
  <c r="M969" i="56"/>
  <c r="N969" i="56" s="1"/>
  <c r="O969" i="56" s="1"/>
  <c r="N867" i="56"/>
  <c r="O867" i="56" s="1"/>
  <c r="M846" i="56"/>
  <c r="N846" i="56" s="1"/>
  <c r="M882" i="56"/>
  <c r="N882" i="56" s="1"/>
  <c r="O882" i="56" s="1"/>
  <c r="L432" i="56"/>
  <c r="K432" i="56"/>
  <c r="M433" i="56"/>
  <c r="N433" i="56" s="1"/>
  <c r="N432" i="56" s="1"/>
  <c r="L767" i="56"/>
  <c r="K767" i="56"/>
  <c r="M768" i="56"/>
  <c r="L242" i="56"/>
  <c r="M243" i="56"/>
  <c r="M242" i="56" s="1"/>
  <c r="K242" i="56"/>
  <c r="L528" i="56"/>
  <c r="K528" i="56"/>
  <c r="M1002" i="56"/>
  <c r="N1002" i="56" s="1"/>
  <c r="O1002" i="56" s="1"/>
  <c r="N928" i="56"/>
  <c r="O928" i="56" s="1"/>
  <c r="M793" i="56"/>
  <c r="N793" i="56" s="1"/>
  <c r="O793" i="56" s="1"/>
  <c r="M667" i="56"/>
  <c r="N667" i="56" s="1"/>
  <c r="O667" i="56" s="1"/>
  <c r="M987" i="56"/>
  <c r="N987" i="56" s="1"/>
  <c r="O987" i="56" s="1"/>
  <c r="M916" i="56"/>
  <c r="N916" i="56" s="1"/>
  <c r="O916" i="56" s="1"/>
  <c r="N852" i="56"/>
  <c r="O852" i="56" s="1"/>
  <c r="N932" i="56"/>
  <c r="O932" i="56" s="1"/>
  <c r="M945" i="56"/>
  <c r="N945" i="56" s="1"/>
  <c r="M948" i="56"/>
  <c r="M865" i="56"/>
  <c r="N865" i="56" s="1"/>
  <c r="M909" i="56"/>
  <c r="N909" i="56" s="1"/>
  <c r="O909" i="56" s="1"/>
  <c r="L769" i="56"/>
  <c r="M770" i="56"/>
  <c r="N770" i="56" s="1"/>
  <c r="N769" i="56" s="1"/>
  <c r="K769" i="56"/>
  <c r="N985" i="56"/>
  <c r="O985" i="56" s="1"/>
  <c r="M624" i="56"/>
  <c r="M614" i="56" s="1"/>
  <c r="L614" i="56"/>
  <c r="K614" i="56"/>
  <c r="M958" i="56"/>
  <c r="N958" i="56" s="1"/>
  <c r="O958" i="56" s="1"/>
  <c r="N789" i="56"/>
  <c r="O789" i="56" s="1"/>
  <c r="N414" i="56"/>
  <c r="O414" i="56" s="1"/>
  <c r="N970" i="56"/>
  <c r="O970" i="56" s="1"/>
  <c r="M914" i="56"/>
  <c r="N914" i="56" s="1"/>
  <c r="N934" i="56"/>
  <c r="O934" i="56" s="1"/>
  <c r="N866" i="56"/>
  <c r="O866" i="56" s="1"/>
  <c r="M912" i="56"/>
  <c r="N912" i="56" s="1"/>
  <c r="O912" i="56" s="1"/>
  <c r="M962" i="56"/>
  <c r="N962" i="56" s="1"/>
  <c r="N1000" i="56"/>
  <c r="O1000" i="56" s="1"/>
  <c r="L665" i="56"/>
  <c r="K665" i="56"/>
  <c r="M666" i="56"/>
  <c r="M665" i="56" s="1"/>
  <c r="M641" i="56" s="1"/>
  <c r="N906" i="56"/>
  <c r="O906" i="56" s="1"/>
  <c r="N951" i="56"/>
  <c r="O951" i="56" s="1"/>
  <c r="M233" i="56"/>
  <c r="M567" i="56"/>
  <c r="M853" i="56"/>
  <c r="N853" i="56" s="1"/>
  <c r="O853" i="56" s="1"/>
  <c r="N963" i="56"/>
  <c r="O963" i="56" s="1"/>
  <c r="N782" i="56"/>
  <c r="O782" i="56" s="1"/>
  <c r="M974" i="56"/>
  <c r="N974" i="56" s="1"/>
  <c r="N965" i="56"/>
  <c r="O965" i="56" s="1"/>
  <c r="M913" i="56"/>
  <c r="N913" i="56" s="1"/>
  <c r="O913" i="56" s="1"/>
  <c r="L642" i="56"/>
  <c r="N643" i="56"/>
  <c r="N642" i="56" s="1"/>
  <c r="M643" i="56"/>
  <c r="K642" i="56"/>
  <c r="M229" i="56"/>
  <c r="N229" i="56" s="1"/>
  <c r="O229" i="56" s="1"/>
  <c r="M862" i="56"/>
  <c r="N862" i="56" s="1"/>
  <c r="O862" i="56" s="1"/>
  <c r="L636" i="56"/>
  <c r="K636" i="56"/>
  <c r="M944" i="56"/>
  <c r="N944" i="56" s="1"/>
  <c r="L99" i="56"/>
  <c r="K99" i="56"/>
  <c r="K529" i="56"/>
  <c r="N100" i="56"/>
  <c r="N99" i="56" s="1"/>
  <c r="N98" i="56" s="1"/>
  <c r="N97" i="56" s="1"/>
  <c r="M971" i="56"/>
  <c r="N971" i="56" s="1"/>
  <c r="N982" i="56"/>
  <c r="O982" i="56" s="1"/>
  <c r="M977" i="56"/>
  <c r="N977" i="56" s="1"/>
  <c r="O977" i="56" s="1"/>
  <c r="O91" i="56"/>
  <c r="L714" i="56"/>
  <c r="K714" i="56"/>
  <c r="K465" i="56"/>
  <c r="M473" i="56"/>
  <c r="M465" i="56" s="1"/>
  <c r="M438" i="56" s="1"/>
  <c r="C11" i="50" s="1"/>
  <c r="L818" i="56"/>
  <c r="K818" i="56"/>
  <c r="M819" i="56"/>
  <c r="N819" i="56" s="1"/>
  <c r="N818" i="56" s="1"/>
  <c r="L253" i="56"/>
  <c r="K253" i="56"/>
  <c r="N254" i="56"/>
  <c r="N253" i="56" s="1"/>
  <c r="M254" i="56"/>
  <c r="M669" i="56"/>
  <c r="N669" i="56" s="1"/>
  <c r="O669" i="56" s="1"/>
  <c r="N990" i="56"/>
  <c r="O990" i="56" s="1"/>
  <c r="D64" i="50"/>
  <c r="D62" i="50" s="1"/>
  <c r="M476" i="56"/>
  <c r="O973" i="56"/>
  <c r="N940" i="56"/>
  <c r="O940" i="56" s="1"/>
  <c r="N268" i="56"/>
  <c r="M286" i="56"/>
  <c r="N286" i="56" s="1"/>
  <c r="O286" i="56" s="1"/>
  <c r="L324" i="56"/>
  <c r="K324" i="56"/>
  <c r="N351" i="56"/>
  <c r="N526" i="56"/>
  <c r="N524" i="56" s="1"/>
  <c r="N509" i="56"/>
  <c r="N358" i="56"/>
  <c r="K520" i="56"/>
  <c r="N521" i="56"/>
  <c r="N520" i="56" s="1"/>
  <c r="N519" i="56" s="1"/>
  <c r="M521" i="56"/>
  <c r="N844" i="56"/>
  <c r="O844" i="56" s="1"/>
  <c r="L105" i="56"/>
  <c r="K105" i="56"/>
  <c r="O298" i="56"/>
  <c r="M705" i="56"/>
  <c r="O706" i="56"/>
  <c r="O705" i="56" s="1"/>
  <c r="N568" i="56"/>
  <c r="L250" i="56"/>
  <c r="M251" i="56"/>
  <c r="K250" i="56"/>
  <c r="M111" i="56"/>
  <c r="M110" i="56" s="1"/>
  <c r="M109" i="56" s="1"/>
  <c r="M108" i="56" s="1"/>
  <c r="O112" i="56"/>
  <c r="M886" i="56"/>
  <c r="N886" i="56" s="1"/>
  <c r="O886" i="56" s="1"/>
  <c r="L452" i="56"/>
  <c r="K452" i="56"/>
  <c r="N356" i="56"/>
  <c r="N355" i="56"/>
  <c r="M320" i="56"/>
  <c r="O320" i="56" s="1"/>
  <c r="N266" i="56"/>
  <c r="M991" i="56"/>
  <c r="N991" i="56" s="1"/>
  <c r="O991" i="56" s="1"/>
  <c r="M875" i="56"/>
  <c r="N875" i="56" s="1"/>
  <c r="O875" i="56" s="1"/>
  <c r="L703" i="56"/>
  <c r="K703" i="56"/>
  <c r="N704" i="56"/>
  <c r="N703" i="56" s="1"/>
  <c r="N702" i="56" s="1"/>
  <c r="M704" i="56"/>
  <c r="N359" i="56"/>
  <c r="N716" i="56"/>
  <c r="O36" i="56"/>
  <c r="M749" i="56"/>
  <c r="N749" i="56" s="1"/>
  <c r="O749" i="56" s="1"/>
  <c r="L654" i="56"/>
  <c r="K646" i="56" s="1"/>
  <c r="K654" i="56"/>
  <c r="M901" i="56"/>
  <c r="N901" i="56" s="1"/>
  <c r="M877" i="56"/>
  <c r="N877" i="56" s="1"/>
  <c r="O877" i="56" s="1"/>
  <c r="M942" i="56"/>
  <c r="N942" i="56" s="1"/>
  <c r="N998" i="56"/>
  <c r="O998" i="56" s="1"/>
  <c r="O16" i="56"/>
  <c r="O474" i="56"/>
  <c r="O997" i="56"/>
  <c r="M455" i="56"/>
  <c r="O915" i="56"/>
  <c r="L465" i="56"/>
  <c r="L519" i="56"/>
  <c r="K519" i="56"/>
  <c r="M776" i="56"/>
  <c r="N776" i="56" s="1"/>
  <c r="L742" i="56"/>
  <c r="K742" i="56"/>
  <c r="M743" i="56"/>
  <c r="M832" i="56"/>
  <c r="N832" i="56" s="1"/>
  <c r="N858" i="56"/>
  <c r="O858" i="56" s="1"/>
  <c r="M876" i="56"/>
  <c r="N876" i="56" s="1"/>
  <c r="N929" i="56"/>
  <c r="O929" i="56" s="1"/>
  <c r="O11" i="56"/>
  <c r="M648" i="56"/>
  <c r="M647" i="56" s="1"/>
  <c r="L345" i="56"/>
  <c r="K345" i="56"/>
  <c r="M346" i="56"/>
  <c r="M933" i="56"/>
  <c r="N933" i="56" s="1"/>
  <c r="O933" i="56" s="1"/>
  <c r="M879" i="56"/>
  <c r="N879" i="56" s="1"/>
  <c r="O879" i="56" s="1"/>
  <c r="M225" i="56"/>
  <c r="N225" i="56" s="1"/>
  <c r="O225" i="56" s="1"/>
  <c r="M976" i="56"/>
  <c r="N976" i="56" s="1"/>
  <c r="O976" i="56" s="1"/>
  <c r="L736" i="56"/>
  <c r="K736" i="56"/>
  <c r="M738" i="56"/>
  <c r="L715" i="56"/>
  <c r="M717" i="56"/>
  <c r="N717" i="56"/>
  <c r="K715" i="56"/>
  <c r="M983" i="56"/>
  <c r="M999" i="56"/>
  <c r="N999" i="56" s="1"/>
  <c r="M885" i="56"/>
  <c r="N885" i="56" s="1"/>
  <c r="O885" i="56" s="1"/>
  <c r="M230" i="56"/>
  <c r="N230" i="56" s="1"/>
  <c r="O230" i="56" s="1"/>
  <c r="M956" i="56"/>
  <c r="N956" i="56" s="1"/>
  <c r="L708" i="56"/>
  <c r="M709" i="56"/>
  <c r="K708" i="56"/>
  <c r="N709" i="56"/>
  <c r="N708" i="56" s="1"/>
  <c r="N707" i="56" s="1"/>
  <c r="N892" i="56"/>
  <c r="O892" i="56" s="1"/>
  <c r="M777" i="56"/>
  <c r="N777" i="56" s="1"/>
  <c r="O777" i="56" s="1"/>
  <c r="L494" i="56"/>
  <c r="K494" i="56"/>
  <c r="N495" i="56"/>
  <c r="N494" i="56" s="1"/>
  <c r="M495" i="56"/>
  <c r="O103" i="56"/>
  <c r="O263" i="56"/>
  <c r="L236" i="56"/>
  <c r="K236" i="56"/>
  <c r="M237" i="56"/>
  <c r="N532" i="56"/>
  <c r="N529" i="56" s="1"/>
  <c r="N528" i="56" s="1"/>
  <c r="M532" i="56"/>
  <c r="L658" i="56"/>
  <c r="N659" i="56"/>
  <c r="N658" i="56" s="1"/>
  <c r="M659" i="56"/>
  <c r="K658" i="56"/>
  <c r="M526" i="56"/>
  <c r="O526" i="56" s="1"/>
  <c r="L450" i="56"/>
  <c r="M451" i="56"/>
  <c r="M450" i="56" s="1"/>
  <c r="K450" i="56"/>
  <c r="N231" i="56"/>
  <c r="O231" i="56" s="1"/>
  <c r="M859" i="56"/>
  <c r="N859" i="56" s="1"/>
  <c r="O859" i="56" s="1"/>
  <c r="M874" i="56"/>
  <c r="N874" i="56" s="1"/>
  <c r="L364" i="56"/>
  <c r="K364" i="56"/>
  <c r="N1003" i="56"/>
  <c r="O1003" i="56" s="1"/>
  <c r="L492" i="56"/>
  <c r="M493" i="56"/>
  <c r="K492" i="56"/>
  <c r="N978" i="56"/>
  <c r="O978" i="56" s="1"/>
  <c r="O911" i="56"/>
  <c r="N937" i="56"/>
  <c r="O937" i="56" s="1"/>
  <c r="O790" i="56"/>
  <c r="M263" i="56"/>
  <c r="M262" i="56" s="1"/>
  <c r="N926" i="56"/>
  <c r="O926" i="56" s="1"/>
  <c r="N947" i="56"/>
  <c r="O947" i="56" s="1"/>
  <c r="O864" i="56"/>
  <c r="J235" i="56"/>
  <c r="J113" i="56" s="1"/>
  <c r="J96" i="56" s="1"/>
  <c r="N451" i="56"/>
  <c r="N450" i="56" s="1"/>
  <c r="O923" i="56"/>
  <c r="O979" i="56"/>
  <c r="O455" i="56"/>
  <c r="O664" i="56"/>
  <c r="O889" i="56"/>
  <c r="O921" i="56"/>
  <c r="M325" i="56"/>
  <c r="M324" i="56" s="1"/>
  <c r="M323" i="56" s="1"/>
  <c r="K692" i="56"/>
  <c r="L503" i="56"/>
  <c r="K503" i="56"/>
  <c r="M510" i="56"/>
  <c r="K263" i="56"/>
  <c r="L263" i="56"/>
  <c r="L440" i="56"/>
  <c r="M441" i="56"/>
  <c r="K440" i="56"/>
  <c r="L625" i="56"/>
  <c r="K625" i="56"/>
  <c r="M627" i="56"/>
  <c r="O638" i="56"/>
  <c r="O637" i="56" s="1"/>
  <c r="O636" i="56" s="1"/>
  <c r="O635" i="56" s="1"/>
  <c r="M637" i="56"/>
  <c r="N325" i="56"/>
  <c r="N324" i="56" s="1"/>
  <c r="N323" i="56" s="1"/>
  <c r="M322" i="56"/>
  <c r="O322" i="56" s="1"/>
  <c r="N507" i="56"/>
  <c r="L318" i="56"/>
  <c r="N648" i="56"/>
  <c r="N647" i="56" s="1"/>
  <c r="N646" i="56" s="1"/>
  <c r="O711" i="56"/>
  <c r="O710" i="56" s="1"/>
  <c r="M710" i="56"/>
  <c r="N444" i="56"/>
  <c r="N346" i="56"/>
  <c r="M996" i="56"/>
  <c r="N996" i="56" s="1"/>
  <c r="L110" i="56"/>
  <c r="K110" i="56"/>
  <c r="M893" i="56"/>
  <c r="N893" i="56" s="1"/>
  <c r="O893" i="56" s="1"/>
  <c r="M453" i="56"/>
  <c r="O454" i="56"/>
  <c r="O453" i="56" s="1"/>
  <c r="N504" i="56"/>
  <c r="N353" i="56"/>
  <c r="L700" i="56"/>
  <c r="M701" i="56"/>
  <c r="N701" i="56"/>
  <c r="N700" i="56" s="1"/>
  <c r="N699" i="56" s="1"/>
  <c r="K700" i="56"/>
  <c r="N871" i="56"/>
  <c r="O871" i="56" s="1"/>
  <c r="M258" i="56"/>
  <c r="N258" i="56"/>
  <c r="N255" i="56" s="1"/>
  <c r="M525" i="56"/>
  <c r="K524" i="56"/>
  <c r="L247" i="56"/>
  <c r="N248" i="56"/>
  <c r="N247" i="56" s="1"/>
  <c r="N246" i="56" s="1"/>
  <c r="M248" i="56"/>
  <c r="K247" i="56"/>
  <c r="L255" i="56"/>
  <c r="N505" i="56"/>
  <c r="O106" i="56"/>
  <c r="K795" i="56"/>
  <c r="L795" i="56" s="1"/>
  <c r="N795" i="56" s="1"/>
  <c r="O795" i="56" s="1"/>
  <c r="N447" i="56"/>
  <c r="N59" i="56"/>
  <c r="D50" i="50" s="1"/>
  <c r="M35" i="56"/>
  <c r="Z727" i="51"/>
  <c r="D28" i="15" s="1"/>
  <c r="G10" i="55"/>
  <c r="G11" i="55"/>
  <c r="N636" i="56"/>
  <c r="N635" i="56" s="1"/>
  <c r="K315" i="56"/>
  <c r="J646" i="56"/>
  <c r="D68" i="50"/>
  <c r="C44" i="50"/>
  <c r="S538" i="51"/>
  <c r="U538" i="51" s="1"/>
  <c r="V536" i="51"/>
  <c r="X536" i="51" s="1"/>
  <c r="Z536" i="51" s="1"/>
  <c r="W778" i="51"/>
  <c r="X778" i="51" s="1"/>
  <c r="U866" i="51"/>
  <c r="V866" i="51" s="1"/>
  <c r="R374" i="51"/>
  <c r="T374" i="51" s="1"/>
  <c r="L904" i="51"/>
  <c r="N904" i="51" s="1"/>
  <c r="M904" i="51"/>
  <c r="P656" i="51"/>
  <c r="O656" i="51"/>
  <c r="M654" i="51"/>
  <c r="O901" i="51"/>
  <c r="N891" i="51"/>
  <c r="P891" i="51" s="1"/>
  <c r="O891" i="51"/>
  <c r="N937" i="51"/>
  <c r="O937" i="51"/>
  <c r="V545" i="51"/>
  <c r="X545" i="51" s="1"/>
  <c r="Z545" i="51" s="1"/>
  <c r="N370" i="51"/>
  <c r="P370" i="51" s="1"/>
  <c r="P740" i="51"/>
  <c r="N739" i="51"/>
  <c r="I874" i="51"/>
  <c r="J874" i="51" s="1"/>
  <c r="L874" i="51" s="1"/>
  <c r="J875" i="51"/>
  <c r="L875" i="51" s="1"/>
  <c r="N946" i="51"/>
  <c r="R670" i="51"/>
  <c r="R663" i="51" s="1"/>
  <c r="S554" i="51"/>
  <c r="P111" i="51"/>
  <c r="O111" i="51"/>
  <c r="I670" i="51"/>
  <c r="I663" i="51" s="1"/>
  <c r="D62" i="15"/>
  <c r="Z872" i="51"/>
  <c r="N525" i="51"/>
  <c r="L524" i="51"/>
  <c r="O381" i="51"/>
  <c r="Q381" i="51" s="1"/>
  <c r="O127" i="51"/>
  <c r="O126" i="51" s="1"/>
  <c r="O125" i="51" s="1"/>
  <c r="O124" i="51" s="1"/>
  <c r="Q128" i="51"/>
  <c r="W677" i="51"/>
  <c r="Y677" i="51" s="1"/>
  <c r="S387" i="51"/>
  <c r="S386" i="51" s="1"/>
  <c r="S385" i="51" s="1"/>
  <c r="U388" i="51"/>
  <c r="S771" i="51"/>
  <c r="S768" i="51" s="1"/>
  <c r="S726" i="51" s="1"/>
  <c r="L995" i="51"/>
  <c r="L729" i="51"/>
  <c r="L728" i="51" s="1"/>
  <c r="Q552" i="51"/>
  <c r="O550" i="51"/>
  <c r="O549" i="51" s="1"/>
  <c r="T473" i="51"/>
  <c r="V473" i="51" s="1"/>
  <c r="V646" i="51"/>
  <c r="T643" i="51"/>
  <c r="L129" i="51"/>
  <c r="P749" i="51"/>
  <c r="R749" i="51" s="1"/>
  <c r="O977" i="51"/>
  <c r="X840" i="51"/>
  <c r="L881" i="51"/>
  <c r="O881" i="51" s="1"/>
  <c r="N678" i="51"/>
  <c r="P678" i="51" s="1"/>
  <c r="P676" i="51" s="1"/>
  <c r="P476" i="51"/>
  <c r="R476" i="51" s="1"/>
  <c r="M888" i="51"/>
  <c r="N620" i="51"/>
  <c r="N619" i="51" s="1"/>
  <c r="W275" i="51"/>
  <c r="Y275" i="51" s="1"/>
  <c r="M889" i="51"/>
  <c r="O889" i="51" s="1"/>
  <c r="V721" i="51"/>
  <c r="T721" i="51"/>
  <c r="U595" i="51"/>
  <c r="V595" i="51" s="1"/>
  <c r="W595" i="51" s="1"/>
  <c r="Q507" i="51"/>
  <c r="O506" i="51"/>
  <c r="O122" i="51"/>
  <c r="O121" i="51" s="1"/>
  <c r="O113" i="51" s="1"/>
  <c r="Q123" i="51"/>
  <c r="P627" i="51"/>
  <c r="Q620" i="51"/>
  <c r="Q619" i="51" s="1"/>
  <c r="N260" i="51"/>
  <c r="N259" i="51" s="1"/>
  <c r="P261" i="51"/>
  <c r="U539" i="51"/>
  <c r="W539" i="51" s="1"/>
  <c r="V867" i="51"/>
  <c r="W867" i="51" s="1"/>
  <c r="Y867" i="51" s="1"/>
  <c r="Z867" i="51" s="1"/>
  <c r="T279" i="51"/>
  <c r="V279" i="51" s="1"/>
  <c r="Q511" i="51"/>
  <c r="S511" i="51" s="1"/>
  <c r="Q129" i="51"/>
  <c r="N1006" i="51"/>
  <c r="M370" i="51"/>
  <c r="O667" i="51"/>
  <c r="U685" i="51"/>
  <c r="U683" i="51" s="1"/>
  <c r="O580" i="51"/>
  <c r="O531" i="51" s="1"/>
  <c r="M580" i="51"/>
  <c r="M531" i="51" s="1"/>
  <c r="L1026" i="51"/>
  <c r="M1022" i="51"/>
  <c r="O1022" i="51" s="1"/>
  <c r="L1016" i="51"/>
  <c r="M1010" i="51"/>
  <c r="L1003" i="51"/>
  <c r="M992" i="51"/>
  <c r="L992" i="51"/>
  <c r="N992" i="51" s="1"/>
  <c r="M982" i="51"/>
  <c r="O982" i="51" s="1"/>
  <c r="M903" i="51"/>
  <c r="L896" i="51"/>
  <c r="N896" i="51" s="1"/>
  <c r="M896" i="51"/>
  <c r="T862" i="51"/>
  <c r="U862" i="51" s="1"/>
  <c r="N730" i="51"/>
  <c r="N729" i="51" s="1"/>
  <c r="N728" i="51" s="1"/>
  <c r="U696" i="51"/>
  <c r="V696" i="51" s="1"/>
  <c r="R384" i="51"/>
  <c r="T384" i="51" s="1"/>
  <c r="N939" i="51"/>
  <c r="P917" i="51"/>
  <c r="W274" i="51"/>
  <c r="Y274" i="51" s="1"/>
  <c r="N940" i="51"/>
  <c r="P940" i="51" s="1"/>
  <c r="O940" i="51"/>
  <c r="W276" i="51"/>
  <c r="Y276" i="51" s="1"/>
  <c r="N883" i="51"/>
  <c r="V448" i="51"/>
  <c r="W448" i="51" s="1"/>
  <c r="X475" i="51"/>
  <c r="Z475" i="51" s="1"/>
  <c r="N974" i="51"/>
  <c r="P974" i="51" s="1"/>
  <c r="O974" i="51"/>
  <c r="S676" i="51"/>
  <c r="U678" i="51"/>
  <c r="U676" i="51" s="1"/>
  <c r="S340" i="51"/>
  <c r="Q338" i="51"/>
  <c r="Q337" i="51" s="1"/>
  <c r="T246" i="51"/>
  <c r="P454" i="51"/>
  <c r="P453" i="51" s="1"/>
  <c r="R455" i="51"/>
  <c r="P685" i="51"/>
  <c r="P683" i="51" s="1"/>
  <c r="N989" i="51"/>
  <c r="N962" i="51"/>
  <c r="V557" i="51"/>
  <c r="X557" i="51" s="1"/>
  <c r="Z557" i="51" s="1"/>
  <c r="N963" i="51"/>
  <c r="H129" i="51"/>
  <c r="M10" i="51"/>
  <c r="P506" i="51"/>
  <c r="O265" i="51"/>
  <c r="O262" i="51" s="1"/>
  <c r="T593" i="51"/>
  <c r="U593" i="51" s="1"/>
  <c r="V593" i="51" s="1"/>
  <c r="O335" i="51"/>
  <c r="N975" i="51"/>
  <c r="M975" i="51"/>
  <c r="S472" i="51"/>
  <c r="V341" i="51"/>
  <c r="X341" i="51" s="1"/>
  <c r="P553" i="51"/>
  <c r="N550" i="51"/>
  <c r="N549" i="51" s="1"/>
  <c r="O454" i="51"/>
  <c r="O453" i="51" s="1"/>
  <c r="Q455" i="51"/>
  <c r="N1024" i="51"/>
  <c r="Y14" i="51"/>
  <c r="Y13" i="51" s="1"/>
  <c r="Y12" i="51" s="1"/>
  <c r="Y11" i="51" s="1"/>
  <c r="U13" i="51"/>
  <c r="U12" i="51" s="1"/>
  <c r="U11" i="51" s="1"/>
  <c r="T534" i="51"/>
  <c r="V534" i="51" s="1"/>
  <c r="O1007" i="51"/>
  <c r="Q1007" i="51" s="1"/>
  <c r="L876" i="51"/>
  <c r="M876" i="51"/>
  <c r="T772" i="51"/>
  <c r="U772" i="51" s="1"/>
  <c r="Q687" i="51"/>
  <c r="S688" i="51"/>
  <c r="N984" i="51"/>
  <c r="Q745" i="51"/>
  <c r="S745" i="51" s="1"/>
  <c r="M961" i="51"/>
  <c r="L961" i="51"/>
  <c r="O748" i="51"/>
  <c r="O743" i="51" s="1"/>
  <c r="Q749" i="51"/>
  <c r="S749" i="51" s="1"/>
  <c r="O746" i="51"/>
  <c r="Q746" i="51" s="1"/>
  <c r="M744" i="51"/>
  <c r="L671" i="51"/>
  <c r="N673" i="51"/>
  <c r="N1000" i="51"/>
  <c r="O1000" i="51"/>
  <c r="T540" i="51"/>
  <c r="S535" i="51"/>
  <c r="U535" i="51" s="1"/>
  <c r="Z502" i="51"/>
  <c r="S368" i="51"/>
  <c r="U368" i="51" s="1"/>
  <c r="N936" i="51"/>
  <c r="X108" i="51"/>
  <c r="X107" i="51" s="1"/>
  <c r="X106" i="51" s="1"/>
  <c r="Z109" i="51"/>
  <c r="Z108" i="51" s="1"/>
  <c r="Z107" i="51" s="1"/>
  <c r="D58" i="15" s="1"/>
  <c r="U247" i="51"/>
  <c r="U246" i="51" s="1"/>
  <c r="T161" i="51"/>
  <c r="T160" i="51" s="1"/>
  <c r="L122" i="51"/>
  <c r="L121" i="51" s="1"/>
  <c r="N123" i="51"/>
  <c r="N924" i="51"/>
  <c r="O451" i="51"/>
  <c r="Q452" i="51"/>
  <c r="L380" i="51"/>
  <c r="N380" i="51" s="1"/>
  <c r="N685" i="51"/>
  <c r="N683" i="51" s="1"/>
  <c r="R686" i="51"/>
  <c r="T686" i="51" s="1"/>
  <c r="N1012" i="51"/>
  <c r="L1035" i="51"/>
  <c r="N999" i="51"/>
  <c r="P999" i="51" s="1"/>
  <c r="O999" i="51"/>
  <c r="M988" i="51"/>
  <c r="O988" i="51" s="1"/>
  <c r="N903" i="51"/>
  <c r="M899" i="51"/>
  <c r="L885" i="51"/>
  <c r="N885" i="51" s="1"/>
  <c r="M885" i="51"/>
  <c r="N880" i="51"/>
  <c r="U693" i="51"/>
  <c r="N556" i="51"/>
  <c r="N554" i="51" s="1"/>
  <c r="L554" i="51"/>
  <c r="T541" i="51"/>
  <c r="V541" i="51" s="1"/>
  <c r="N978" i="51"/>
  <c r="V381" i="51"/>
  <c r="X381" i="51" s="1"/>
  <c r="Z381" i="51" s="1"/>
  <c r="U555" i="51"/>
  <c r="Q554" i="51"/>
  <c r="W503" i="51"/>
  <c r="W495" i="51" s="1"/>
  <c r="W468" i="51" s="1"/>
  <c r="W467" i="51" s="1"/>
  <c r="W466" i="51" s="1"/>
  <c r="U762" i="51"/>
  <c r="U252" i="51"/>
  <c r="T218" i="51"/>
  <c r="Q367" i="51"/>
  <c r="Q366" i="51" s="1"/>
  <c r="Z34" i="51"/>
  <c r="Z31" i="51" s="1"/>
  <c r="N273" i="51"/>
  <c r="N272" i="51" s="1"/>
  <c r="V605" i="51"/>
  <c r="X708" i="51"/>
  <c r="X699" i="51" s="1"/>
  <c r="Z709" i="51"/>
  <c r="Z708" i="51" s="1"/>
  <c r="Z699" i="51" s="1"/>
  <c r="T456" i="51"/>
  <c r="V457" i="51"/>
  <c r="N367" i="51"/>
  <c r="N366" i="51" s="1"/>
  <c r="P369" i="51"/>
  <c r="R369" i="51" s="1"/>
  <c r="Q277" i="51"/>
  <c r="S277" i="51" s="1"/>
  <c r="O273" i="51"/>
  <c r="O272" i="51" s="1"/>
  <c r="V659" i="51"/>
  <c r="U504" i="51"/>
  <c r="V504" i="51" s="1"/>
  <c r="O379" i="51"/>
  <c r="Q379" i="51" s="1"/>
  <c r="O260" i="51"/>
  <c r="O259" i="51" s="1"/>
  <c r="S261" i="51"/>
  <c r="N481" i="51"/>
  <c r="P481" i="51" s="1"/>
  <c r="L480" i="51"/>
  <c r="L382" i="51"/>
  <c r="M378" i="51"/>
  <c r="O378" i="51" s="1"/>
  <c r="S541" i="51"/>
  <c r="U541" i="51" s="1"/>
  <c r="O533" i="51"/>
  <c r="O532" i="51" s="1"/>
  <c r="Q537" i="51"/>
  <c r="S537" i="51" s="1"/>
  <c r="R342" i="51"/>
  <c r="N986" i="51"/>
  <c r="P986" i="51" s="1"/>
  <c r="N950" i="51"/>
  <c r="N547" i="51"/>
  <c r="S437" i="51"/>
  <c r="W346" i="51"/>
  <c r="V537" i="51"/>
  <c r="X537" i="51" s="1"/>
  <c r="N267" i="51"/>
  <c r="L265" i="51"/>
  <c r="R677" i="51"/>
  <c r="T677" i="51" s="1"/>
  <c r="X277" i="51"/>
  <c r="Z277" i="51" s="1"/>
  <c r="S634" i="51"/>
  <c r="N889" i="51"/>
  <c r="U241" i="51"/>
  <c r="V241" i="51" s="1"/>
  <c r="N746" i="51"/>
  <c r="P746" i="51" s="1"/>
  <c r="O922" i="51"/>
  <c r="L477" i="51"/>
  <c r="N477" i="51" s="1"/>
  <c r="U383" i="51"/>
  <c r="W383" i="51" s="1"/>
  <c r="L371" i="51"/>
  <c r="N371" i="51" s="1"/>
  <c r="R368" i="51"/>
  <c r="R275" i="51"/>
  <c r="T275" i="51" s="1"/>
  <c r="N561" i="51"/>
  <c r="L559" i="51"/>
  <c r="L558" i="51" s="1"/>
  <c r="L470" i="51"/>
  <c r="L469" i="51" s="1"/>
  <c r="N471" i="51"/>
  <c r="P471" i="51" s="1"/>
  <c r="O374" i="51"/>
  <c r="Q374" i="51" s="1"/>
  <c r="N258" i="51"/>
  <c r="L257" i="51"/>
  <c r="L256" i="51" s="1"/>
  <c r="S478" i="51"/>
  <c r="U478" i="51" s="1"/>
  <c r="O470" i="51"/>
  <c r="O469" i="51" s="1"/>
  <c r="J106" i="51"/>
  <c r="Q672" i="51"/>
  <c r="O671" i="51"/>
  <c r="R539" i="51"/>
  <c r="T539" i="51" s="1"/>
  <c r="N535" i="51"/>
  <c r="P535" i="51" s="1"/>
  <c r="L533" i="51"/>
  <c r="L532" i="51" s="1"/>
  <c r="Q265" i="51"/>
  <c r="S266" i="51"/>
  <c r="T672" i="51"/>
  <c r="N1028" i="51"/>
  <c r="M479" i="51"/>
  <c r="O477" i="51"/>
  <c r="Q477" i="51" s="1"/>
  <c r="T14" i="51"/>
  <c r="P13" i="51"/>
  <c r="P12" i="51" s="1"/>
  <c r="P11" i="51" s="1"/>
  <c r="N483" i="51"/>
  <c r="N482" i="51" s="1"/>
  <c r="P484" i="51"/>
  <c r="V375" i="51"/>
  <c r="X375" i="51" s="1"/>
  <c r="P274" i="51"/>
  <c r="N338" i="51"/>
  <c r="N337" i="51" s="1"/>
  <c r="R339" i="51"/>
  <c r="T339" i="51" s="1"/>
  <c r="X555" i="51"/>
  <c r="P387" i="51"/>
  <c r="P386" i="51" s="1"/>
  <c r="P385" i="51" s="1"/>
  <c r="R390" i="51"/>
  <c r="O993" i="51"/>
  <c r="N993" i="51"/>
  <c r="P993" i="51" s="1"/>
  <c r="N921" i="51"/>
  <c r="V298" i="51"/>
  <c r="W298" i="51" s="1"/>
  <c r="R276" i="51"/>
  <c r="T276" i="51" s="1"/>
  <c r="Q470" i="51"/>
  <c r="Q469" i="51" s="1"/>
  <c r="P373" i="51"/>
  <c r="S488" i="51"/>
  <c r="Q485" i="51"/>
  <c r="Q482" i="51" s="1"/>
  <c r="X248" i="51"/>
  <c r="S738" i="51"/>
  <c r="Q737" i="51"/>
  <c r="V594" i="51"/>
  <c r="W594" i="51" s="1"/>
  <c r="S474" i="51"/>
  <c r="U474" i="51" s="1"/>
  <c r="S380" i="51"/>
  <c r="S565" i="51"/>
  <c r="Q559" i="51"/>
  <c r="Q558" i="51" s="1"/>
  <c r="Q464" i="51"/>
  <c r="Q450" i="51" s="1"/>
  <c r="Q445" i="51" s="1"/>
  <c r="Q427" i="51" s="1"/>
  <c r="Q334" i="51" s="1"/>
  <c r="S465" i="51"/>
  <c r="S464" i="51" s="1"/>
  <c r="S450" i="51" s="1"/>
  <c r="S445" i="51" s="1"/>
  <c r="S427" i="51" s="1"/>
  <c r="M371" i="51"/>
  <c r="O371" i="51" s="1"/>
  <c r="Q349" i="51"/>
  <c r="O345" i="51"/>
  <c r="O344" i="51" s="1"/>
  <c r="O343" i="51" s="1"/>
  <c r="Q260" i="51"/>
  <c r="Q259" i="51" s="1"/>
  <c r="T252" i="51"/>
  <c r="V253" i="51"/>
  <c r="R445" i="51"/>
  <c r="R427" i="51" s="1"/>
  <c r="M382" i="51"/>
  <c r="O382" i="51" s="1"/>
  <c r="O90" i="51"/>
  <c r="P90" i="51"/>
  <c r="R90" i="51" s="1"/>
  <c r="T560" i="51"/>
  <c r="L378" i="51"/>
  <c r="N378" i="51" s="1"/>
  <c r="R511" i="51"/>
  <c r="T511" i="51" s="1"/>
  <c r="P340" i="51"/>
  <c r="L338" i="51"/>
  <c r="L337" i="51" s="1"/>
  <c r="W863" i="51"/>
  <c r="X863" i="51" s="1"/>
  <c r="L479" i="51"/>
  <c r="R436" i="51"/>
  <c r="P435" i="51"/>
  <c r="R435" i="51" s="1"/>
  <c r="S384" i="51"/>
  <c r="O367" i="51"/>
  <c r="O366" i="51" s="1"/>
  <c r="N118" i="51"/>
  <c r="T349" i="51"/>
  <c r="V379" i="51"/>
  <c r="X379" i="51" s="1"/>
  <c r="U483" i="51"/>
  <c r="W484" i="51"/>
  <c r="U545" i="51"/>
  <c r="W545" i="51" s="1"/>
  <c r="Y545" i="51" s="1"/>
  <c r="X507" i="51"/>
  <c r="V618" i="51"/>
  <c r="V613" i="51" s="1"/>
  <c r="E77" i="15"/>
  <c r="Z17" i="51"/>
  <c r="Z16" i="51" s="1"/>
  <c r="V117" i="51"/>
  <c r="O80" i="51"/>
  <c r="P80" i="51"/>
  <c r="M79" i="51"/>
  <c r="U117" i="51"/>
  <c r="S118" i="51"/>
  <c r="W816" i="51"/>
  <c r="X816" i="51" s="1"/>
  <c r="V817" i="51"/>
  <c r="W817" i="51" s="1"/>
  <c r="V818" i="51"/>
  <c r="W818" i="51" s="1"/>
  <c r="U815" i="51"/>
  <c r="V815" i="51" s="1"/>
  <c r="U819" i="51"/>
  <c r="V808" i="51"/>
  <c r="W808" i="51" s="1"/>
  <c r="X813" i="51"/>
  <c r="X809" i="51" s="1"/>
  <c r="W814" i="51"/>
  <c r="O822" i="51"/>
  <c r="Q822" i="51" s="1"/>
  <c r="F11" i="52"/>
  <c r="F10" i="52"/>
  <c r="F9" i="52"/>
  <c r="G12" i="55" l="1"/>
  <c r="P680" i="51"/>
  <c r="R680" i="51" s="1"/>
  <c r="N967" i="51"/>
  <c r="S740" i="51"/>
  <c r="N1004" i="51"/>
  <c r="Q1004" i="51" s="1"/>
  <c r="N948" i="51"/>
  <c r="P948" i="51" s="1"/>
  <c r="Q669" i="51"/>
  <c r="S669" i="51" s="1"/>
  <c r="O949" i="51"/>
  <c r="Q949" i="51" s="1"/>
  <c r="R949" i="51" s="1"/>
  <c r="C24" i="50"/>
  <c r="C21" i="50" s="1"/>
  <c r="M634" i="56"/>
  <c r="J10" i="56"/>
  <c r="P936" i="51"/>
  <c r="Q679" i="51"/>
  <c r="Q675" i="51" s="1"/>
  <c r="N667" i="51"/>
  <c r="P667" i="51" s="1"/>
  <c r="P978" i="51"/>
  <c r="P1024" i="51"/>
  <c r="X770" i="51"/>
  <c r="Z770" i="51" s="1"/>
  <c r="Z769" i="51" s="1"/>
  <c r="P937" i="51"/>
  <c r="P959" i="51"/>
  <c r="R959" i="51" s="1"/>
  <c r="S959" i="51" s="1"/>
  <c r="P1011" i="51"/>
  <c r="N996" i="51"/>
  <c r="P996" i="51" s="1"/>
  <c r="H518" i="51"/>
  <c r="V433" i="51"/>
  <c r="V432" i="51" s="1"/>
  <c r="V431" i="51" s="1"/>
  <c r="N1018" i="51"/>
  <c r="P926" i="51"/>
  <c r="R926" i="51" s="1"/>
  <c r="S926" i="51" s="1"/>
  <c r="T926" i="51" s="1"/>
  <c r="U926" i="51" s="1"/>
  <c r="O964" i="51"/>
  <c r="Q964" i="51" s="1"/>
  <c r="N518" i="51"/>
  <c r="N882" i="51"/>
  <c r="P882" i="51" s="1"/>
  <c r="Q901" i="51"/>
  <c r="R901" i="51" s="1"/>
  <c r="Q1023" i="51"/>
  <c r="N987" i="51"/>
  <c r="P987" i="51" s="1"/>
  <c r="O1033" i="51"/>
  <c r="Q1033" i="51" s="1"/>
  <c r="O998" i="51"/>
  <c r="Q998" i="51" s="1"/>
  <c r="R998" i="51" s="1"/>
  <c r="S998" i="51" s="1"/>
  <c r="T998" i="51" s="1"/>
  <c r="P989" i="51"/>
  <c r="P888" i="51"/>
  <c r="U680" i="51"/>
  <c r="P1034" i="51"/>
  <c r="R1034" i="51" s="1"/>
  <c r="S1034" i="51" s="1"/>
  <c r="P908" i="51"/>
  <c r="R908" i="51" s="1"/>
  <c r="S908" i="51" s="1"/>
  <c r="N112" i="51"/>
  <c r="N426" i="56"/>
  <c r="D70" i="50" s="1"/>
  <c r="D67" i="50" s="1"/>
  <c r="D54" i="50"/>
  <c r="D51" i="50" s="1"/>
  <c r="N822" i="56"/>
  <c r="D37" i="50"/>
  <c r="D35" i="50" s="1"/>
  <c r="N762" i="56"/>
  <c r="D12" i="50"/>
  <c r="E12" i="50"/>
  <c r="P1008" i="51"/>
  <c r="R1008" i="51" s="1"/>
  <c r="S1008" i="51" s="1"/>
  <c r="O994" i="51"/>
  <c r="N930" i="51"/>
  <c r="P930" i="51" s="1"/>
  <c r="O938" i="51"/>
  <c r="Q938" i="51" s="1"/>
  <c r="R938" i="51" s="1"/>
  <c r="P984" i="51"/>
  <c r="N960" i="51"/>
  <c r="P960" i="51" s="1"/>
  <c r="R486" i="51"/>
  <c r="R485" i="51" s="1"/>
  <c r="P913" i="51"/>
  <c r="R913" i="51" s="1"/>
  <c r="S913" i="51" s="1"/>
  <c r="P918" i="51"/>
  <c r="R918" i="51" s="1"/>
  <c r="S918" i="51" s="1"/>
  <c r="T918" i="51" s="1"/>
  <c r="O943" i="51"/>
  <c r="Q943" i="51" s="1"/>
  <c r="M668" i="51"/>
  <c r="M665" i="51" s="1"/>
  <c r="M664" i="51" s="1"/>
  <c r="Q887" i="51"/>
  <c r="R887" i="51" s="1"/>
  <c r="S887" i="51" s="1"/>
  <c r="M112" i="51"/>
  <c r="P942" i="51"/>
  <c r="Q900" i="51"/>
  <c r="R900" i="51" s="1"/>
  <c r="S900" i="51" s="1"/>
  <c r="Q911" i="51"/>
  <c r="R911" i="51" s="1"/>
  <c r="R970" i="51"/>
  <c r="S970" i="51" s="1"/>
  <c r="S681" i="51"/>
  <c r="Q1001" i="51"/>
  <c r="P934" i="51"/>
  <c r="R934" i="51" s="1"/>
  <c r="S934" i="51" s="1"/>
  <c r="P985" i="51"/>
  <c r="R985" i="51" s="1"/>
  <c r="S985" i="51" s="1"/>
  <c r="P1006" i="51"/>
  <c r="O995" i="51"/>
  <c r="N898" i="51"/>
  <c r="P898" i="51" s="1"/>
  <c r="O954" i="51"/>
  <c r="O1016" i="51"/>
  <c r="Q948" i="51"/>
  <c r="R948" i="51" s="1"/>
  <c r="S948" i="51" s="1"/>
  <c r="W682" i="51"/>
  <c r="W681" i="51" s="1"/>
  <c r="Q907" i="51"/>
  <c r="J726" i="51"/>
  <c r="O951" i="51"/>
  <c r="Q951" i="51" s="1"/>
  <c r="R951" i="51" s="1"/>
  <c r="S951" i="51" s="1"/>
  <c r="T951" i="51" s="1"/>
  <c r="O914" i="51"/>
  <c r="Q914" i="51" s="1"/>
  <c r="R914" i="51" s="1"/>
  <c r="S914" i="51" s="1"/>
  <c r="T914" i="51" s="1"/>
  <c r="O929" i="51"/>
  <c r="Q929" i="51" s="1"/>
  <c r="R929" i="51" s="1"/>
  <c r="M601" i="51"/>
  <c r="M519" i="51" s="1"/>
  <c r="M518" i="51" s="1"/>
  <c r="H112" i="51"/>
  <c r="N956" i="51"/>
  <c r="Q956" i="51" s="1"/>
  <c r="N952" i="51"/>
  <c r="P952" i="51" s="1"/>
  <c r="Q112" i="51"/>
  <c r="Q944" i="51"/>
  <c r="R944" i="51" s="1"/>
  <c r="K112" i="51"/>
  <c r="R735" i="51"/>
  <c r="T735" i="51" s="1"/>
  <c r="P921" i="51"/>
  <c r="N966" i="51"/>
  <c r="P966" i="51" s="1"/>
  <c r="P899" i="51"/>
  <c r="Q263" i="51"/>
  <c r="Q262" i="51" s="1"/>
  <c r="O945" i="51"/>
  <c r="Q945" i="51" s="1"/>
  <c r="L112" i="51"/>
  <c r="P884" i="51"/>
  <c r="R884" i="51" s="1"/>
  <c r="S884" i="51" s="1"/>
  <c r="P1031" i="51"/>
  <c r="P979" i="51"/>
  <c r="R979" i="51" s="1"/>
  <c r="S979" i="51" s="1"/>
  <c r="Q922" i="51"/>
  <c r="R922" i="51" s="1"/>
  <c r="L262" i="51"/>
  <c r="K308" i="51"/>
  <c r="L308" i="51"/>
  <c r="M308" i="51"/>
  <c r="Q925" i="51"/>
  <c r="R925" i="51" s="1"/>
  <c r="S925" i="51" s="1"/>
  <c r="P112" i="51"/>
  <c r="P308" i="51"/>
  <c r="U308" i="51"/>
  <c r="S308" i="51"/>
  <c r="W308" i="51"/>
  <c r="D47" i="15"/>
  <c r="T305" i="51"/>
  <c r="N308" i="51"/>
  <c r="Q308" i="51"/>
  <c r="R305" i="51"/>
  <c r="V308" i="51"/>
  <c r="K145" i="56"/>
  <c r="N567" i="56"/>
  <c r="O567" i="56" s="1"/>
  <c r="N315" i="56"/>
  <c r="M646" i="56"/>
  <c r="N245" i="56"/>
  <c r="D47" i="50" s="1"/>
  <c r="L252" i="56"/>
  <c r="M10" i="56"/>
  <c r="M211" i="56"/>
  <c r="C45" i="50" s="1"/>
  <c r="Z335" i="51"/>
  <c r="D10" i="15"/>
  <c r="N715" i="56"/>
  <c r="M636" i="56"/>
  <c r="M635" i="56" s="1"/>
  <c r="J488" i="56"/>
  <c r="K115" i="56"/>
  <c r="N114" i="56"/>
  <c r="N243" i="56"/>
  <c r="O243" i="56" s="1"/>
  <c r="W525" i="51"/>
  <c r="W524" i="51" s="1"/>
  <c r="R933" i="51"/>
  <c r="S933" i="51" s="1"/>
  <c r="T933" i="51" s="1"/>
  <c r="O927" i="51"/>
  <c r="Q927" i="51" s="1"/>
  <c r="R927" i="51" s="1"/>
  <c r="S927" i="51" s="1"/>
  <c r="Q731" i="51"/>
  <c r="Q1029" i="51"/>
  <c r="Q941" i="51"/>
  <c r="S334" i="51"/>
  <c r="P950" i="51"/>
  <c r="O878" i="51"/>
  <c r="Q878" i="51" s="1"/>
  <c r="N892" i="51"/>
  <c r="Q892" i="51" s="1"/>
  <c r="P681" i="51"/>
  <c r="L744" i="51"/>
  <c r="P947" i="51"/>
  <c r="P890" i="51"/>
  <c r="Z566" i="51"/>
  <c r="U767" i="51"/>
  <c r="U765" i="51" s="1"/>
  <c r="U764" i="51" s="1"/>
  <c r="Q990" i="51"/>
  <c r="Q947" i="51"/>
  <c r="R1011" i="51"/>
  <c r="R823" i="51"/>
  <c r="S823" i="51" s="1"/>
  <c r="N875" i="51"/>
  <c r="W698" i="51"/>
  <c r="X698" i="51" s="1"/>
  <c r="O1032" i="51"/>
  <c r="Q1032" i="51" s="1"/>
  <c r="P990" i="51"/>
  <c r="P1029" i="51"/>
  <c r="S821" i="51"/>
  <c r="T821" i="51" s="1"/>
  <c r="R917" i="51"/>
  <c r="S917" i="51" s="1"/>
  <c r="T917" i="51" s="1"/>
  <c r="Q886" i="51"/>
  <c r="R886" i="51" s="1"/>
  <c r="S886" i="51" s="1"/>
  <c r="Q1019" i="51"/>
  <c r="R1019" i="51" s="1"/>
  <c r="V862" i="51"/>
  <c r="W862" i="51" s="1"/>
  <c r="V848" i="51"/>
  <c r="P1009" i="51"/>
  <c r="Q957" i="51"/>
  <c r="R957" i="51" s="1"/>
  <c r="P983" i="51"/>
  <c r="R983" i="51" s="1"/>
  <c r="S983" i="51" s="1"/>
  <c r="T983" i="51" s="1"/>
  <c r="N954" i="51"/>
  <c r="P954" i="51" s="1"/>
  <c r="N736" i="51"/>
  <c r="O971" i="51"/>
  <c r="Q971" i="51" s="1"/>
  <c r="R971" i="51" s="1"/>
  <c r="S971" i="51" s="1"/>
  <c r="Q977" i="51"/>
  <c r="K518" i="51"/>
  <c r="Q895" i="51"/>
  <c r="P946" i="51"/>
  <c r="P1023" i="51"/>
  <c r="P880" i="51"/>
  <c r="Q982" i="51"/>
  <c r="X804" i="51"/>
  <c r="X803" i="51" s="1"/>
  <c r="U554" i="51"/>
  <c r="P982" i="51"/>
  <c r="Y557" i="51"/>
  <c r="S929" i="51"/>
  <c r="T929" i="51" s="1"/>
  <c r="P895" i="51"/>
  <c r="Q972" i="51"/>
  <c r="L518" i="51"/>
  <c r="P923" i="51"/>
  <c r="I518" i="51"/>
  <c r="Q882" i="51"/>
  <c r="R882" i="51" s="1"/>
  <c r="S882" i="51" s="1"/>
  <c r="R474" i="51"/>
  <c r="T474" i="51" s="1"/>
  <c r="V478" i="51"/>
  <c r="X478" i="51" s="1"/>
  <c r="Z478" i="51" s="1"/>
  <c r="O129" i="51"/>
  <c r="O112" i="51" s="1"/>
  <c r="R383" i="51"/>
  <c r="T383" i="51" s="1"/>
  <c r="V383" i="51" s="1"/>
  <c r="T462" i="51"/>
  <c r="T450" i="51" s="1"/>
  <c r="T445" i="51" s="1"/>
  <c r="T427" i="51" s="1"/>
  <c r="T334" i="51" s="1"/>
  <c r="P977" i="51"/>
  <c r="Q902" i="51"/>
  <c r="J519" i="51"/>
  <c r="P745" i="51"/>
  <c r="R745" i="51" s="1"/>
  <c r="T745" i="51" s="1"/>
  <c r="O893" i="51"/>
  <c r="Q893" i="51" s="1"/>
  <c r="P893" i="51"/>
  <c r="O1003" i="51"/>
  <c r="Y686" i="51"/>
  <c r="Y685" i="51" s="1"/>
  <c r="Y683" i="51" s="1"/>
  <c r="P897" i="51"/>
  <c r="Q1020" i="51"/>
  <c r="P902" i="51"/>
  <c r="X538" i="51"/>
  <c r="Z538" i="51" s="1"/>
  <c r="P905" i="51"/>
  <c r="R905" i="51" s="1"/>
  <c r="S905" i="51" s="1"/>
  <c r="R907" i="51"/>
  <c r="S907" i="51" s="1"/>
  <c r="T907" i="51" s="1"/>
  <c r="P606" i="51"/>
  <c r="P605" i="51" s="1"/>
  <c r="N605" i="51"/>
  <c r="O919" i="51"/>
  <c r="Q919" i="51" s="1"/>
  <c r="R919" i="51" s="1"/>
  <c r="S919" i="51" s="1"/>
  <c r="T919" i="51" s="1"/>
  <c r="O1017" i="51"/>
  <c r="P1014" i="51"/>
  <c r="S120" i="51"/>
  <c r="S119" i="51" s="1"/>
  <c r="S116" i="51" s="1"/>
  <c r="S115" i="51" s="1"/>
  <c r="S114" i="51" s="1"/>
  <c r="V684" i="51"/>
  <c r="X684" i="51" s="1"/>
  <c r="Z684" i="51" s="1"/>
  <c r="P935" i="51"/>
  <c r="P916" i="51"/>
  <c r="O958" i="51"/>
  <c r="Q958" i="51" s="1"/>
  <c r="O1013" i="51"/>
  <c r="P928" i="51"/>
  <c r="P1025" i="51"/>
  <c r="N877" i="51"/>
  <c r="P877" i="51" s="1"/>
  <c r="O877" i="51"/>
  <c r="P941" i="51"/>
  <c r="W542" i="51"/>
  <c r="Y542" i="51" s="1"/>
  <c r="V372" i="51"/>
  <c r="X372" i="51" s="1"/>
  <c r="Z372" i="51" s="1"/>
  <c r="Y471" i="51"/>
  <c r="D51" i="15"/>
  <c r="Z852" i="51"/>
  <c r="R942" i="51"/>
  <c r="S942" i="51" s="1"/>
  <c r="T942" i="51" s="1"/>
  <c r="U942" i="51" s="1"/>
  <c r="R300" i="51"/>
  <c r="S300" i="51" s="1"/>
  <c r="Q1022" i="51"/>
  <c r="O1021" i="51"/>
  <c r="Q1021" i="51" s="1"/>
  <c r="Q906" i="51"/>
  <c r="U544" i="51"/>
  <c r="S543" i="51"/>
  <c r="M875" i="51"/>
  <c r="O875" i="51" s="1"/>
  <c r="P1022" i="51"/>
  <c r="Q997" i="51"/>
  <c r="R997" i="51" s="1"/>
  <c r="S997" i="51" s="1"/>
  <c r="Q1014" i="51"/>
  <c r="N1017" i="51"/>
  <c r="P1017" i="51" s="1"/>
  <c r="P991" i="51"/>
  <c r="R678" i="51"/>
  <c r="T678" i="51" s="1"/>
  <c r="T476" i="51"/>
  <c r="V476" i="51" s="1"/>
  <c r="X377" i="51"/>
  <c r="Z377" i="51" s="1"/>
  <c r="T800" i="51"/>
  <c r="T794" i="51" s="1"/>
  <c r="T793" i="51" s="1"/>
  <c r="V801" i="51"/>
  <c r="W801" i="51" s="1"/>
  <c r="W800" i="51" s="1"/>
  <c r="U245" i="51"/>
  <c r="O1025" i="51"/>
  <c r="Q1025" i="51" s="1"/>
  <c r="Z106" i="51"/>
  <c r="D59" i="15" s="1"/>
  <c r="D57" i="15" s="1"/>
  <c r="O969" i="51"/>
  <c r="R820" i="51"/>
  <c r="S820" i="51" s="1"/>
  <c r="N1013" i="51"/>
  <c r="P1013" i="51" s="1"/>
  <c r="P367" i="51"/>
  <c r="P366" i="51" s="1"/>
  <c r="N1030" i="51"/>
  <c r="P906" i="51"/>
  <c r="R726" i="51"/>
  <c r="P1020" i="51"/>
  <c r="R1020" i="51" s="1"/>
  <c r="S376" i="51"/>
  <c r="S734" i="51"/>
  <c r="S731" i="51" s="1"/>
  <c r="U735" i="51"/>
  <c r="R334" i="51"/>
  <c r="Q736" i="51"/>
  <c r="S129" i="51"/>
  <c r="S112" i="51" s="1"/>
  <c r="R943" i="51"/>
  <c r="S943" i="51" s="1"/>
  <c r="T943" i="51" s="1"/>
  <c r="P915" i="51"/>
  <c r="Q928" i="51"/>
  <c r="O375" i="51"/>
  <c r="Q375" i="51" s="1"/>
  <c r="J129" i="51"/>
  <c r="J112" i="51" s="1"/>
  <c r="Q1031" i="51"/>
  <c r="R1031" i="51" s="1"/>
  <c r="Q923" i="51"/>
  <c r="O1015" i="51"/>
  <c r="Q1015" i="51" s="1"/>
  <c r="P1015" i="51"/>
  <c r="P1001" i="51"/>
  <c r="P967" i="51"/>
  <c r="Q967" i="51"/>
  <c r="J427" i="51"/>
  <c r="J334" i="51" s="1"/>
  <c r="P988" i="51"/>
  <c r="N1005" i="51"/>
  <c r="O1005" i="51"/>
  <c r="P732" i="51"/>
  <c r="P731" i="51" s="1"/>
  <c r="R733" i="51"/>
  <c r="S523" i="51"/>
  <c r="Q522" i="51"/>
  <c r="Q521" i="51" s="1"/>
  <c r="P737" i="51"/>
  <c r="R738" i="51"/>
  <c r="P931" i="51"/>
  <c r="O931" i="51"/>
  <c r="Q931" i="51" s="1"/>
  <c r="Q257" i="51"/>
  <c r="Q256" i="51" s="1"/>
  <c r="S258" i="51"/>
  <c r="P687" i="51"/>
  <c r="R688" i="51"/>
  <c r="Q1018" i="51"/>
  <c r="P1018" i="51"/>
  <c r="P965" i="51"/>
  <c r="S729" i="51"/>
  <c r="S728" i="51" s="1"/>
  <c r="U730" i="51"/>
  <c r="V776" i="51"/>
  <c r="X777" i="51"/>
  <c r="R13" i="51"/>
  <c r="R12" i="51" s="1"/>
  <c r="R11" i="51" s="1"/>
  <c r="V14" i="51"/>
  <c r="Q932" i="51"/>
  <c r="R932" i="51" s="1"/>
  <c r="S932" i="51" s="1"/>
  <c r="T932" i="51" s="1"/>
  <c r="I10" i="51"/>
  <c r="J10" i="51"/>
  <c r="R522" i="51"/>
  <c r="R521" i="51" s="1"/>
  <c r="Q1028" i="51"/>
  <c r="P748" i="51"/>
  <c r="P743" i="51" s="1"/>
  <c r="Q924" i="51"/>
  <c r="O334" i="51"/>
  <c r="R472" i="51"/>
  <c r="T472" i="51" s="1"/>
  <c r="Q476" i="51"/>
  <c r="R264" i="51"/>
  <c r="P263" i="51"/>
  <c r="O915" i="51"/>
  <c r="Q915" i="51" s="1"/>
  <c r="O965" i="51"/>
  <c r="Q965" i="51" s="1"/>
  <c r="O909" i="51"/>
  <c r="Q909" i="51" s="1"/>
  <c r="P909" i="51"/>
  <c r="N969" i="51"/>
  <c r="O920" i="51"/>
  <c r="Q920" i="51" s="1"/>
  <c r="P920" i="51"/>
  <c r="O1009" i="51"/>
  <c r="Q1009" i="51" s="1"/>
  <c r="Q994" i="51"/>
  <c r="P994" i="51"/>
  <c r="Q890" i="51"/>
  <c r="Q897" i="51"/>
  <c r="Q991" i="51"/>
  <c r="P972" i="51"/>
  <c r="W534" i="51"/>
  <c r="Y534" i="51" s="1"/>
  <c r="T245" i="51"/>
  <c r="N881" i="51"/>
  <c r="P881" i="51" s="1"/>
  <c r="O1026" i="51"/>
  <c r="V695" i="51"/>
  <c r="V694" i="51" s="1"/>
  <c r="U694" i="51"/>
  <c r="U670" i="51" s="1"/>
  <c r="U663" i="51" s="1"/>
  <c r="P964" i="51"/>
  <c r="O968" i="51"/>
  <c r="N968" i="51"/>
  <c r="P968" i="51" s="1"/>
  <c r="U643" i="51"/>
  <c r="W653" i="51"/>
  <c r="O910" i="51"/>
  <c r="Q910" i="51" s="1"/>
  <c r="P910" i="51"/>
  <c r="Q973" i="51"/>
  <c r="P973" i="51"/>
  <c r="O955" i="51"/>
  <c r="Q955" i="51" s="1"/>
  <c r="P955" i="51"/>
  <c r="P894" i="51"/>
  <c r="Q894" i="51"/>
  <c r="T542" i="51"/>
  <c r="V542" i="51" s="1"/>
  <c r="W475" i="51"/>
  <c r="Y475" i="51" s="1"/>
  <c r="Q883" i="51"/>
  <c r="P522" i="51"/>
  <c r="P521" i="51" s="1"/>
  <c r="T523" i="51"/>
  <c r="T522" i="51" s="1"/>
  <c r="T521" i="51" s="1"/>
  <c r="N879" i="51"/>
  <c r="O879" i="51"/>
  <c r="O1027" i="51"/>
  <c r="N1027" i="51"/>
  <c r="O981" i="51"/>
  <c r="Q981" i="51" s="1"/>
  <c r="P981" i="51"/>
  <c r="O976" i="51"/>
  <c r="N976" i="51"/>
  <c r="X807" i="51"/>
  <c r="Y807" i="51" s="1"/>
  <c r="Z807" i="51" s="1"/>
  <c r="Q988" i="51"/>
  <c r="P1010" i="51"/>
  <c r="Q916" i="51"/>
  <c r="R452" i="51"/>
  <c r="P451" i="51"/>
  <c r="P912" i="51"/>
  <c r="N127" i="51"/>
  <c r="N126" i="51" s="1"/>
  <c r="N125" i="51" s="1"/>
  <c r="N124" i="51" s="1"/>
  <c r="P128" i="51"/>
  <c r="O980" i="51"/>
  <c r="N980" i="51"/>
  <c r="N1002" i="51"/>
  <c r="P1002" i="51" s="1"/>
  <c r="O1002" i="51"/>
  <c r="N543" i="51"/>
  <c r="P544" i="51"/>
  <c r="O912" i="51"/>
  <c r="Q912" i="51" s="1"/>
  <c r="X697" i="51"/>
  <c r="Y697" i="51" s="1"/>
  <c r="Z697" i="51" s="1"/>
  <c r="P945" i="51"/>
  <c r="V668" i="51"/>
  <c r="V693" i="51"/>
  <c r="P556" i="51"/>
  <c r="R556" i="51" s="1"/>
  <c r="T556" i="51" s="1"/>
  <c r="Q963" i="51"/>
  <c r="W678" i="51"/>
  <c r="Y678" i="51" s="1"/>
  <c r="Y676" i="51" s="1"/>
  <c r="P903" i="51"/>
  <c r="R1033" i="51"/>
  <c r="S1033" i="51" s="1"/>
  <c r="T1033" i="51" s="1"/>
  <c r="U1033" i="51" s="1"/>
  <c r="Q891" i="51"/>
  <c r="R891" i="51" s="1"/>
  <c r="S891" i="51" s="1"/>
  <c r="P958" i="51"/>
  <c r="X669" i="51"/>
  <c r="X668" i="51" s="1"/>
  <c r="T668" i="51"/>
  <c r="U798" i="51"/>
  <c r="U794" i="51" s="1"/>
  <c r="P346" i="51"/>
  <c r="N345" i="51"/>
  <c r="N344" i="51" s="1"/>
  <c r="N343" i="51" s="1"/>
  <c r="N119" i="51"/>
  <c r="N116" i="51" s="1"/>
  <c r="N115" i="51" s="1"/>
  <c r="N114" i="51" s="1"/>
  <c r="P120" i="51"/>
  <c r="Q921" i="51"/>
  <c r="Q987" i="51"/>
  <c r="R987" i="51" s="1"/>
  <c r="P883" i="51"/>
  <c r="V799" i="51"/>
  <c r="V798" i="51" s="1"/>
  <c r="Q480" i="51"/>
  <c r="N376" i="51"/>
  <c r="Q935" i="51"/>
  <c r="S481" i="51"/>
  <c r="R285" i="51"/>
  <c r="R280" i="51" s="1"/>
  <c r="R255" i="51" s="1"/>
  <c r="R129" i="51" s="1"/>
  <c r="T296" i="51"/>
  <c r="T285" i="51" s="1"/>
  <c r="T280" i="51" s="1"/>
  <c r="T255" i="51" s="1"/>
  <c r="V247" i="51"/>
  <c r="W247" i="51" s="1"/>
  <c r="X247" i="51" s="1"/>
  <c r="X246" i="51" s="1"/>
  <c r="R373" i="51"/>
  <c r="R367" i="51" s="1"/>
  <c r="R366" i="51" s="1"/>
  <c r="V278" i="51"/>
  <c r="X278" i="51" s="1"/>
  <c r="Z278" i="51" s="1"/>
  <c r="Z431" i="51"/>
  <c r="D19" i="15"/>
  <c r="D18" i="15" s="1"/>
  <c r="O428" i="51"/>
  <c r="N428" i="51"/>
  <c r="N503" i="56"/>
  <c r="N502" i="56" s="1"/>
  <c r="N345" i="56"/>
  <c r="N344" i="56" s="1"/>
  <c r="O648" i="56"/>
  <c r="O647" i="56" s="1"/>
  <c r="O646" i="56" s="1"/>
  <c r="N473" i="56"/>
  <c r="O473" i="56" s="1"/>
  <c r="O465" i="56" s="1"/>
  <c r="O438" i="56" s="1"/>
  <c r="E11" i="50" s="1"/>
  <c r="N233" i="56"/>
  <c r="O233" i="56" s="1"/>
  <c r="N263" i="56"/>
  <c r="N262" i="56" s="1"/>
  <c r="O105" i="56"/>
  <c r="M247" i="56"/>
  <c r="M246" i="56" s="1"/>
  <c r="O248" i="56"/>
  <c r="O525" i="56"/>
  <c r="O524" i="56" s="1"/>
  <c r="M524" i="56"/>
  <c r="O996" i="56"/>
  <c r="L491" i="56"/>
  <c r="K491" i="56"/>
  <c r="L363" i="56"/>
  <c r="K363" i="56"/>
  <c r="O451" i="56"/>
  <c r="O450" i="56" s="1"/>
  <c r="O100" i="56"/>
  <c r="L707" i="56"/>
  <c r="K707" i="56"/>
  <c r="O999" i="56"/>
  <c r="L344" i="56"/>
  <c r="K344" i="56"/>
  <c r="O876" i="56"/>
  <c r="O832" i="56"/>
  <c r="L438" i="56"/>
  <c r="K438" i="56"/>
  <c r="O942" i="56"/>
  <c r="E49" i="50"/>
  <c r="M703" i="56"/>
  <c r="M702" i="56" s="1"/>
  <c r="O704" i="56"/>
  <c r="O703" i="56" s="1"/>
  <c r="O702" i="56" s="1"/>
  <c r="O251" i="56"/>
  <c r="M250" i="56"/>
  <c r="M249" i="56" s="1"/>
  <c r="O521" i="56"/>
  <c r="O520" i="56" s="1"/>
  <c r="O519" i="56" s="1"/>
  <c r="M520" i="56"/>
  <c r="M519" i="56" s="1"/>
  <c r="L646" i="56"/>
  <c r="N252" i="56"/>
  <c r="M437" i="56"/>
  <c r="M436" i="56" s="1"/>
  <c r="L641" i="56"/>
  <c r="L634" i="56" s="1"/>
  <c r="K641" i="56"/>
  <c r="O962" i="56"/>
  <c r="L613" i="56"/>
  <c r="L574" i="56" s="1"/>
  <c r="L489" i="56" s="1"/>
  <c r="K613" i="56"/>
  <c r="O865" i="56"/>
  <c r="O945" i="56"/>
  <c r="O701" i="56"/>
  <c r="O700" i="56" s="1"/>
  <c r="O699" i="56" s="1"/>
  <c r="M700" i="56"/>
  <c r="M699" i="56" s="1"/>
  <c r="N627" i="56"/>
  <c r="M625" i="56"/>
  <c r="M613" i="56" s="1"/>
  <c r="M574" i="56" s="1"/>
  <c r="M489" i="56" s="1"/>
  <c r="O441" i="56"/>
  <c r="O440" i="56" s="1"/>
  <c r="O439" i="56" s="1"/>
  <c r="M440" i="56"/>
  <c r="M439" i="56" s="1"/>
  <c r="O510" i="56"/>
  <c r="O503" i="56" s="1"/>
  <c r="O502" i="56" s="1"/>
  <c r="M503" i="56"/>
  <c r="M502" i="56" s="1"/>
  <c r="O59" i="56"/>
  <c r="O532" i="56"/>
  <c r="O529" i="56" s="1"/>
  <c r="O528" i="56" s="1"/>
  <c r="M529" i="56"/>
  <c r="M528" i="56" s="1"/>
  <c r="L235" i="56"/>
  <c r="K235" i="56"/>
  <c r="O262" i="56"/>
  <c r="O495" i="56"/>
  <c r="O494" i="56" s="1"/>
  <c r="M494" i="56"/>
  <c r="O717" i="56"/>
  <c r="O715" i="56" s="1"/>
  <c r="M715" i="56"/>
  <c r="L735" i="56"/>
  <c r="K735" i="56"/>
  <c r="N743" i="56"/>
  <c r="M742" i="56"/>
  <c r="M739" i="56" s="1"/>
  <c r="C34" i="50" s="1"/>
  <c r="O776" i="56"/>
  <c r="O901" i="56"/>
  <c r="O318" i="56"/>
  <c r="O317" i="56" s="1"/>
  <c r="O111" i="56"/>
  <c r="L249" i="56"/>
  <c r="K249" i="56"/>
  <c r="L114" i="56"/>
  <c r="K114" i="56"/>
  <c r="E58" i="50"/>
  <c r="O944" i="56"/>
  <c r="O643" i="56"/>
  <c r="O642" i="56" s="1"/>
  <c r="M642" i="56"/>
  <c r="O914" i="56"/>
  <c r="L763" i="56"/>
  <c r="K763" i="56"/>
  <c r="K426" i="56"/>
  <c r="L426" i="56"/>
  <c r="O846" i="56"/>
  <c r="N234" i="56"/>
  <c r="L246" i="56"/>
  <c r="K246" i="56"/>
  <c r="O258" i="56"/>
  <c r="M255" i="56"/>
  <c r="L699" i="56"/>
  <c r="K699" i="56"/>
  <c r="L109" i="56"/>
  <c r="K109" i="56"/>
  <c r="L317" i="56"/>
  <c r="K317" i="56"/>
  <c r="L439" i="56"/>
  <c r="K439" i="56"/>
  <c r="O452" i="56"/>
  <c r="O874" i="56"/>
  <c r="M658" i="56"/>
  <c r="O659" i="56"/>
  <c r="O658" i="56" s="1"/>
  <c r="O956" i="56"/>
  <c r="N983" i="56"/>
  <c r="O983" i="56" s="1"/>
  <c r="O346" i="56"/>
  <c r="O345" i="56" s="1"/>
  <c r="O344" i="56" s="1"/>
  <c r="M345" i="56"/>
  <c r="M344" i="56" s="1"/>
  <c r="M318" i="56"/>
  <c r="M317" i="56" s="1"/>
  <c r="L323" i="56"/>
  <c r="K323" i="56"/>
  <c r="K252" i="56"/>
  <c r="O974" i="56"/>
  <c r="N666" i="56"/>
  <c r="O770" i="56"/>
  <c r="O769" i="56" s="1"/>
  <c r="M769" i="56"/>
  <c r="N948" i="56"/>
  <c r="O948" i="56" s="1"/>
  <c r="M432" i="56"/>
  <c r="M426" i="56" s="1"/>
  <c r="O433" i="56"/>
  <c r="O432" i="56" s="1"/>
  <c r="O426" i="56" s="1"/>
  <c r="L262" i="56"/>
  <c r="K262" i="56"/>
  <c r="L502" i="56"/>
  <c r="K502" i="56"/>
  <c r="O493" i="56"/>
  <c r="O492" i="56" s="1"/>
  <c r="O491" i="56" s="1"/>
  <c r="M492" i="56"/>
  <c r="M491" i="56" s="1"/>
  <c r="M236" i="56"/>
  <c r="M235" i="56" s="1"/>
  <c r="N237" i="56"/>
  <c r="E47" i="50"/>
  <c r="M708" i="56"/>
  <c r="M707" i="56" s="1"/>
  <c r="O709" i="56"/>
  <c r="O708" i="56" s="1"/>
  <c r="O707" i="56" s="1"/>
  <c r="N738" i="56"/>
  <c r="N736" i="56" s="1"/>
  <c r="N735" i="56" s="1"/>
  <c r="M736" i="56"/>
  <c r="M735" i="56" s="1"/>
  <c r="L739" i="56"/>
  <c r="K739" i="56"/>
  <c r="M452" i="56"/>
  <c r="O15" i="56"/>
  <c r="L702" i="56"/>
  <c r="K702" i="56"/>
  <c r="L144" i="56"/>
  <c r="K144" i="56"/>
  <c r="M253" i="56"/>
  <c r="O254" i="56"/>
  <c r="M818" i="56"/>
  <c r="O819" i="56"/>
  <c r="O818" i="56" s="1"/>
  <c r="O971" i="56"/>
  <c r="L98" i="56"/>
  <c r="K98" i="56"/>
  <c r="L635" i="56"/>
  <c r="K635" i="56"/>
  <c r="N624" i="56"/>
  <c r="N768" i="56"/>
  <c r="N767" i="56" s="1"/>
  <c r="N763" i="56" s="1"/>
  <c r="M767" i="56"/>
  <c r="M763" i="56" s="1"/>
  <c r="O938" i="56"/>
  <c r="N35" i="56"/>
  <c r="N10" i="56" s="1"/>
  <c r="D49" i="50"/>
  <c r="D48" i="50" s="1"/>
  <c r="T685" i="51"/>
  <c r="T683" i="51" s="1"/>
  <c r="R748" i="51"/>
  <c r="R743" i="51" s="1"/>
  <c r="S381" i="51"/>
  <c r="U381" i="51" s="1"/>
  <c r="W381" i="51" s="1"/>
  <c r="Y381" i="51" s="1"/>
  <c r="R679" i="51"/>
  <c r="S748" i="51"/>
  <c r="S743" i="51" s="1"/>
  <c r="Q550" i="51"/>
  <c r="Q549" i="51" s="1"/>
  <c r="S552" i="51"/>
  <c r="O903" i="51"/>
  <c r="Q903" i="51" s="1"/>
  <c r="N1026" i="51"/>
  <c r="Q127" i="51"/>
  <c r="Q126" i="51" s="1"/>
  <c r="Q125" i="51" s="1"/>
  <c r="Q124" i="51" s="1"/>
  <c r="S128" i="51"/>
  <c r="X534" i="51"/>
  <c r="Z534" i="51" s="1"/>
  <c r="Q744" i="51"/>
  <c r="Q1000" i="51"/>
  <c r="U749" i="51"/>
  <c r="Q748" i="51"/>
  <c r="Q743" i="51" s="1"/>
  <c r="S687" i="51"/>
  <c r="U688" i="51"/>
  <c r="Q939" i="51"/>
  <c r="P1000" i="51"/>
  <c r="X646" i="51"/>
  <c r="V643" i="51"/>
  <c r="P730" i="51"/>
  <c r="U771" i="51"/>
  <c r="U768" i="51" s="1"/>
  <c r="T681" i="51"/>
  <c r="O654" i="51"/>
  <c r="O601" i="51" s="1"/>
  <c r="O519" i="51" s="1"/>
  <c r="O518" i="51" s="1"/>
  <c r="Q656" i="51"/>
  <c r="R656" i="51" s="1"/>
  <c r="W538" i="51"/>
  <c r="Y538" i="51" s="1"/>
  <c r="P1028" i="51"/>
  <c r="R1028" i="51" s="1"/>
  <c r="Q993" i="51"/>
  <c r="R993" i="51" s="1"/>
  <c r="S993" i="51" s="1"/>
  <c r="T993" i="51" s="1"/>
  <c r="T749" i="51"/>
  <c r="V749" i="51" s="1"/>
  <c r="N666" i="51"/>
  <c r="N665" i="51" s="1"/>
  <c r="N664" i="51" s="1"/>
  <c r="R667" i="51"/>
  <c r="T667" i="51" s="1"/>
  <c r="W696" i="51"/>
  <c r="O885" i="51"/>
  <c r="Q885" i="51" s="1"/>
  <c r="O1010" i="51"/>
  <c r="Q1010" i="51" s="1"/>
  <c r="Q1012" i="51"/>
  <c r="N995" i="51"/>
  <c r="Q451" i="51"/>
  <c r="S452" i="51"/>
  <c r="P123" i="51"/>
  <c r="N122" i="51"/>
  <c r="N121" i="51" s="1"/>
  <c r="Q936" i="51"/>
  <c r="R936" i="51" s="1"/>
  <c r="W368" i="51"/>
  <c r="Y368" i="51" s="1"/>
  <c r="V540" i="51"/>
  <c r="P673" i="51"/>
  <c r="N671" i="51"/>
  <c r="S746" i="51"/>
  <c r="U746" i="51" s="1"/>
  <c r="O961" i="51"/>
  <c r="N961" i="51"/>
  <c r="Q984" i="51"/>
  <c r="V772" i="51"/>
  <c r="T771" i="51"/>
  <c r="T768" i="51" s="1"/>
  <c r="T726" i="51" s="1"/>
  <c r="R1007" i="51"/>
  <c r="S1007" i="51" s="1"/>
  <c r="S455" i="51"/>
  <c r="Q454" i="51"/>
  <c r="Q453" i="51" s="1"/>
  <c r="R553" i="51"/>
  <c r="P550" i="51"/>
  <c r="P549" i="51" s="1"/>
  <c r="Z341" i="51"/>
  <c r="O744" i="51"/>
  <c r="Q989" i="51"/>
  <c r="P1021" i="51"/>
  <c r="T663" i="51"/>
  <c r="O992" i="51"/>
  <c r="Q992" i="51" s="1"/>
  <c r="P992" i="51"/>
  <c r="Q667" i="51"/>
  <c r="S667" i="51" s="1"/>
  <c r="O666" i="51"/>
  <c r="O665" i="51" s="1"/>
  <c r="O664" i="51" s="1"/>
  <c r="U511" i="51"/>
  <c r="W511" i="51" s="1"/>
  <c r="X849" i="51"/>
  <c r="P963" i="51"/>
  <c r="N1016" i="51"/>
  <c r="W388" i="51"/>
  <c r="U387" i="51"/>
  <c r="U386" i="51" s="1"/>
  <c r="U385" i="51" s="1"/>
  <c r="S263" i="51"/>
  <c r="U264" i="51"/>
  <c r="R793" i="51"/>
  <c r="P739" i="51"/>
  <c r="R740" i="51"/>
  <c r="R370" i="51"/>
  <c r="T370" i="51" s="1"/>
  <c r="R681" i="51"/>
  <c r="V682" i="51"/>
  <c r="X682" i="51" s="1"/>
  <c r="X681" i="51" s="1"/>
  <c r="Q960" i="51"/>
  <c r="Q937" i="51"/>
  <c r="O899" i="51"/>
  <c r="Q899" i="51" s="1"/>
  <c r="W866" i="51"/>
  <c r="Y866" i="51" s="1"/>
  <c r="Z866" i="51" s="1"/>
  <c r="V384" i="51"/>
  <c r="X279" i="51"/>
  <c r="Z279" i="51" s="1"/>
  <c r="S507" i="51"/>
  <c r="Q506" i="51"/>
  <c r="O904" i="51"/>
  <c r="Q904" i="51" s="1"/>
  <c r="P904" i="51"/>
  <c r="L113" i="51"/>
  <c r="Z555" i="51"/>
  <c r="P666" i="51"/>
  <c r="P665" i="51" s="1"/>
  <c r="P664" i="51" s="1"/>
  <c r="Q880" i="51"/>
  <c r="R685" i="51"/>
  <c r="R683" i="51" s="1"/>
  <c r="V686" i="51"/>
  <c r="N876" i="51"/>
  <c r="P876" i="51" s="1"/>
  <c r="O876" i="51"/>
  <c r="Q974" i="51"/>
  <c r="Q940" i="51"/>
  <c r="R940" i="51" s="1"/>
  <c r="S940" i="51" s="1"/>
  <c r="Y539" i="51"/>
  <c r="S123" i="51"/>
  <c r="Q122" i="51"/>
  <c r="Q121" i="51" s="1"/>
  <c r="Q113" i="51" s="1"/>
  <c r="P679" i="51"/>
  <c r="T680" i="51"/>
  <c r="T679" i="51" s="1"/>
  <c r="O110" i="51"/>
  <c r="Q110" i="51" s="1"/>
  <c r="R110" i="51" s="1"/>
  <c r="R106" i="51" s="1"/>
  <c r="Q111" i="51"/>
  <c r="R111" i="51" s="1"/>
  <c r="W555" i="51"/>
  <c r="V463" i="51"/>
  <c r="U462" i="51"/>
  <c r="U450" i="51" s="1"/>
  <c r="U445" i="51" s="1"/>
  <c r="U427" i="51" s="1"/>
  <c r="U334" i="51" s="1"/>
  <c r="V374" i="51"/>
  <c r="Y778" i="51"/>
  <c r="Z778" i="51" s="1"/>
  <c r="N676" i="51"/>
  <c r="N675" i="51" s="1"/>
  <c r="P939" i="51"/>
  <c r="Q978" i="51"/>
  <c r="X541" i="51"/>
  <c r="Z541" i="51" s="1"/>
  <c r="P885" i="51"/>
  <c r="Q999" i="51"/>
  <c r="R999" i="51" s="1"/>
  <c r="O1035" i="51"/>
  <c r="N1035" i="51"/>
  <c r="P380" i="51"/>
  <c r="V161" i="51"/>
  <c r="V160" i="51" s="1"/>
  <c r="W535" i="51"/>
  <c r="Y535" i="51" s="1"/>
  <c r="Q1024" i="51"/>
  <c r="O975" i="51"/>
  <c r="Q975" i="51" s="1"/>
  <c r="P975" i="51"/>
  <c r="P962" i="51"/>
  <c r="Q962" i="51"/>
  <c r="T455" i="51"/>
  <c r="R454" i="51"/>
  <c r="R453" i="51" s="1"/>
  <c r="U340" i="51"/>
  <c r="U338" i="51" s="1"/>
  <c r="U337" i="51" s="1"/>
  <c r="S338" i="51"/>
  <c r="S337" i="51" s="1"/>
  <c r="U472" i="51"/>
  <c r="W472" i="51" s="1"/>
  <c r="Y472" i="51" s="1"/>
  <c r="X503" i="51"/>
  <c r="O896" i="51"/>
  <c r="Q896" i="51" s="1"/>
  <c r="P896" i="51"/>
  <c r="P1012" i="51"/>
  <c r="Q1006" i="51"/>
  <c r="R1006" i="51" s="1"/>
  <c r="S1006" i="51" s="1"/>
  <c r="T1006" i="51" s="1"/>
  <c r="U740" i="51"/>
  <c r="S739" i="51"/>
  <c r="R261" i="51"/>
  <c r="T261" i="51" s="1"/>
  <c r="P260" i="51"/>
  <c r="P259" i="51" s="1"/>
  <c r="U377" i="51"/>
  <c r="P878" i="51"/>
  <c r="X473" i="51"/>
  <c r="Z473" i="51" s="1"/>
  <c r="N1003" i="51"/>
  <c r="O370" i="51"/>
  <c r="P924" i="51"/>
  <c r="P525" i="51"/>
  <c r="N524" i="51"/>
  <c r="Q946" i="51"/>
  <c r="P654" i="51"/>
  <c r="P601" i="51" s="1"/>
  <c r="P519" i="51" s="1"/>
  <c r="P518" i="51" s="1"/>
  <c r="P620" i="51"/>
  <c r="P619" i="51" s="1"/>
  <c r="O888" i="51"/>
  <c r="Q888" i="51" s="1"/>
  <c r="R888" i="51" s="1"/>
  <c r="S888" i="51" s="1"/>
  <c r="P533" i="51"/>
  <c r="P532" i="51" s="1"/>
  <c r="S273" i="51"/>
  <c r="S272" i="51" s="1"/>
  <c r="S367" i="51"/>
  <c r="S366" i="51" s="1"/>
  <c r="V560" i="51"/>
  <c r="Q671" i="51"/>
  <c r="S672" i="51"/>
  <c r="X457" i="51"/>
  <c r="V456" i="51"/>
  <c r="O79" i="51"/>
  <c r="Z507" i="51"/>
  <c r="S668" i="51"/>
  <c r="U669" i="51"/>
  <c r="W669" i="51" s="1"/>
  <c r="W668" i="51" s="1"/>
  <c r="Q668" i="51"/>
  <c r="P118" i="51"/>
  <c r="V511" i="51"/>
  <c r="X511" i="51" s="1"/>
  <c r="X506" i="51" s="1"/>
  <c r="R506" i="51"/>
  <c r="U738" i="51"/>
  <c r="S737" i="51"/>
  <c r="P273" i="51"/>
  <c r="P272" i="51" s="1"/>
  <c r="Z375" i="51"/>
  <c r="O479" i="51"/>
  <c r="U266" i="51"/>
  <c r="S265" i="51"/>
  <c r="R471" i="51"/>
  <c r="T471" i="51" s="1"/>
  <c r="N470" i="51"/>
  <c r="N469" i="51" s="1"/>
  <c r="P561" i="51"/>
  <c r="N559" i="51"/>
  <c r="N558" i="51" s="1"/>
  <c r="W241" i="51"/>
  <c r="W218" i="51" s="1"/>
  <c r="U218" i="51"/>
  <c r="W593" i="51"/>
  <c r="S949" i="51"/>
  <c r="T949" i="51" s="1"/>
  <c r="Q950" i="51"/>
  <c r="S675" i="51"/>
  <c r="N382" i="51"/>
  <c r="P382" i="51" s="1"/>
  <c r="N480" i="51"/>
  <c r="R481" i="51"/>
  <c r="W504" i="51"/>
  <c r="X504" i="51" s="1"/>
  <c r="R274" i="51"/>
  <c r="U384" i="51"/>
  <c r="R340" i="51"/>
  <c r="R338" i="51" s="1"/>
  <c r="R337" i="51" s="1"/>
  <c r="X14" i="51"/>
  <c r="X13" i="51" s="1"/>
  <c r="X12" i="51" s="1"/>
  <c r="X11" i="51" s="1"/>
  <c r="T13" i="51"/>
  <c r="T12" i="51" s="1"/>
  <c r="T11" i="51" s="1"/>
  <c r="U679" i="51"/>
  <c r="U675" i="51" s="1"/>
  <c r="P267" i="51"/>
  <c r="N265" i="51"/>
  <c r="N262" i="51" s="1"/>
  <c r="W541" i="51"/>
  <c r="Y541" i="51" s="1"/>
  <c r="S260" i="51"/>
  <c r="S259" i="51" s="1"/>
  <c r="U277" i="51"/>
  <c r="Q273" i="51"/>
  <c r="Q272" i="51" s="1"/>
  <c r="Z379" i="51"/>
  <c r="S435" i="51"/>
  <c r="T435" i="51" s="1"/>
  <c r="T342" i="51"/>
  <c r="Q382" i="51"/>
  <c r="V276" i="51"/>
  <c r="X276" i="51" s="1"/>
  <c r="V339" i="51"/>
  <c r="X339" i="51" s="1"/>
  <c r="S477" i="51"/>
  <c r="W478" i="51"/>
  <c r="Y478" i="51" s="1"/>
  <c r="S470" i="51"/>
  <c r="S469" i="51" s="1"/>
  <c r="P258" i="51"/>
  <c r="N257" i="51"/>
  <c r="N256" i="51" s="1"/>
  <c r="P470" i="51"/>
  <c r="P469" i="51" s="1"/>
  <c r="V275" i="51"/>
  <c r="X275" i="51" s="1"/>
  <c r="Y383" i="51"/>
  <c r="S953" i="51"/>
  <c r="T953" i="51" s="1"/>
  <c r="N744" i="51"/>
  <c r="R746" i="51"/>
  <c r="T746" i="51" s="1"/>
  <c r="P547" i="51"/>
  <c r="Q986" i="51"/>
  <c r="R986" i="51" s="1"/>
  <c r="Q533" i="51"/>
  <c r="Q532" i="51" s="1"/>
  <c r="U537" i="51"/>
  <c r="W537" i="51" s="1"/>
  <c r="P480" i="51"/>
  <c r="W659" i="51"/>
  <c r="P338" i="51"/>
  <c r="P337" i="51" s="1"/>
  <c r="N479" i="51"/>
  <c r="V252" i="51"/>
  <c r="S349" i="51"/>
  <c r="Q345" i="51"/>
  <c r="Q344" i="51" s="1"/>
  <c r="Q343" i="51" s="1"/>
  <c r="W474" i="51"/>
  <c r="Y474" i="51" s="1"/>
  <c r="U488" i="51"/>
  <c r="S485" i="51"/>
  <c r="S482" i="51" s="1"/>
  <c r="P483" i="51"/>
  <c r="P482" i="51" s="1"/>
  <c r="R484" i="51"/>
  <c r="V539" i="51"/>
  <c r="P477" i="51"/>
  <c r="V218" i="51"/>
  <c r="Z15" i="51"/>
  <c r="W483" i="51"/>
  <c r="Y484" i="51"/>
  <c r="Y483" i="51" s="1"/>
  <c r="V349" i="51"/>
  <c r="M874" i="51"/>
  <c r="N874" i="51"/>
  <c r="S436" i="51"/>
  <c r="Y863" i="51"/>
  <c r="Z863" i="51" s="1"/>
  <c r="T506" i="51"/>
  <c r="P378" i="51"/>
  <c r="R378" i="51" s="1"/>
  <c r="U261" i="51"/>
  <c r="W261" i="51" s="1"/>
  <c r="W260" i="51" s="1"/>
  <c r="W259" i="51" s="1"/>
  <c r="Q371" i="51"/>
  <c r="S371" i="51" s="1"/>
  <c r="U565" i="51"/>
  <c r="S559" i="51"/>
  <c r="S558" i="51" s="1"/>
  <c r="U745" i="51"/>
  <c r="Y248" i="51"/>
  <c r="X298" i="51"/>
  <c r="T390" i="51"/>
  <c r="R387" i="51"/>
  <c r="R386" i="51" s="1"/>
  <c r="R385" i="51" s="1"/>
  <c r="V672" i="51"/>
  <c r="N533" i="51"/>
  <c r="N532" i="51" s="1"/>
  <c r="R535" i="51"/>
  <c r="T535" i="51" s="1"/>
  <c r="S374" i="51"/>
  <c r="T368" i="51"/>
  <c r="P371" i="51"/>
  <c r="P889" i="51"/>
  <c r="Q889" i="51"/>
  <c r="V677" i="51"/>
  <c r="Z537" i="51"/>
  <c r="Y346" i="51"/>
  <c r="T437" i="51"/>
  <c r="U437" i="51" s="1"/>
  <c r="W680" i="51"/>
  <c r="W679" i="51" s="1"/>
  <c r="S533" i="51"/>
  <c r="S532" i="51" s="1"/>
  <c r="Q378" i="51"/>
  <c r="S378" i="51" s="1"/>
  <c r="S379" i="51"/>
  <c r="U379" i="51" s="1"/>
  <c r="T369" i="51"/>
  <c r="Z610" i="51"/>
  <c r="W253" i="51"/>
  <c r="X253" i="51" s="1"/>
  <c r="U380" i="51"/>
  <c r="X117" i="51"/>
  <c r="U118" i="51"/>
  <c r="W118" i="51" s="1"/>
  <c r="Y118" i="51" s="1"/>
  <c r="W117" i="51"/>
  <c r="R80" i="51"/>
  <c r="P79" i="51"/>
  <c r="X817" i="51"/>
  <c r="Y817" i="51" s="1"/>
  <c r="Z817" i="51" s="1"/>
  <c r="Y816" i="51"/>
  <c r="Z816" i="51" s="1"/>
  <c r="R822" i="51"/>
  <c r="X818" i="51"/>
  <c r="Y818" i="51" s="1"/>
  <c r="X808" i="51"/>
  <c r="Y808" i="51" s="1"/>
  <c r="W815" i="51"/>
  <c r="X814" i="51"/>
  <c r="Y814" i="51" s="1"/>
  <c r="V819" i="51"/>
  <c r="Z813" i="51"/>
  <c r="Y824" i="51"/>
  <c r="Z824" i="51" s="1"/>
  <c r="F12" i="52"/>
  <c r="Z531" i="51" l="1"/>
  <c r="Q996" i="51"/>
  <c r="R996" i="51" s="1"/>
  <c r="S996" i="51" s="1"/>
  <c r="T1034" i="51"/>
  <c r="U1034" i="51" s="1"/>
  <c r="T486" i="51"/>
  <c r="T485" i="51" s="1"/>
  <c r="X769" i="51"/>
  <c r="J518" i="51"/>
  <c r="P1004" i="51"/>
  <c r="R1001" i="51"/>
  <c r="Q930" i="51"/>
  <c r="R930" i="51" s="1"/>
  <c r="S930" i="51" s="1"/>
  <c r="T930" i="51" s="1"/>
  <c r="N1040" i="51"/>
  <c r="J1008" i="56"/>
  <c r="N421" i="56"/>
  <c r="N405" i="56" s="1"/>
  <c r="N314" i="56" s="1"/>
  <c r="R1023" i="51"/>
  <c r="S1023" i="51" s="1"/>
  <c r="H1040" i="51"/>
  <c r="S901" i="51"/>
  <c r="T901" i="51" s="1"/>
  <c r="V926" i="51"/>
  <c r="W926" i="51" s="1"/>
  <c r="R1010" i="51"/>
  <c r="S1010" i="51" s="1"/>
  <c r="U951" i="51"/>
  <c r="T1008" i="51"/>
  <c r="U1008" i="51" s="1"/>
  <c r="V1008" i="51" s="1"/>
  <c r="W1008" i="51" s="1"/>
  <c r="U726" i="51"/>
  <c r="U120" i="51"/>
  <c r="T970" i="51"/>
  <c r="U970" i="51" s="1"/>
  <c r="R989" i="51"/>
  <c r="S989" i="51" s="1"/>
  <c r="T989" i="51" s="1"/>
  <c r="M1040" i="51"/>
  <c r="R988" i="51"/>
  <c r="S988" i="51" s="1"/>
  <c r="D32" i="50"/>
  <c r="D43" i="50"/>
  <c r="C32" i="50"/>
  <c r="M697" i="56"/>
  <c r="M488" i="56" s="1"/>
  <c r="L697" i="56"/>
  <c r="S911" i="51"/>
  <c r="T911" i="51" s="1"/>
  <c r="P875" i="51"/>
  <c r="R112" i="51"/>
  <c r="U929" i="51"/>
  <c r="V929" i="51" s="1"/>
  <c r="W929" i="51" s="1"/>
  <c r="Y525" i="51"/>
  <c r="Y524" i="51" s="1"/>
  <c r="R923" i="51"/>
  <c r="S923" i="51" s="1"/>
  <c r="R1009" i="51"/>
  <c r="S1009" i="51" s="1"/>
  <c r="T1009" i="51" s="1"/>
  <c r="U1009" i="51" s="1"/>
  <c r="R947" i="51"/>
  <c r="S947" i="51" s="1"/>
  <c r="T947" i="51" s="1"/>
  <c r="T900" i="51"/>
  <c r="U900" i="51" s="1"/>
  <c r="R906" i="51"/>
  <c r="S906" i="51" s="1"/>
  <c r="T906" i="51" s="1"/>
  <c r="Q966" i="51"/>
  <c r="R966" i="51" s="1"/>
  <c r="S966" i="51" s="1"/>
  <c r="R941" i="51"/>
  <c r="S941" i="51" s="1"/>
  <c r="L1040" i="51"/>
  <c r="Q1013" i="51"/>
  <c r="R1013" i="51" s="1"/>
  <c r="Q898" i="51"/>
  <c r="R898" i="51" s="1"/>
  <c r="S898" i="51" s="1"/>
  <c r="T898" i="51" s="1"/>
  <c r="R982" i="51"/>
  <c r="S982" i="51" s="1"/>
  <c r="T913" i="51"/>
  <c r="U913" i="51" s="1"/>
  <c r="V913" i="51" s="1"/>
  <c r="W913" i="51" s="1"/>
  <c r="K1040" i="51"/>
  <c r="P956" i="51"/>
  <c r="R956" i="51" s="1"/>
  <c r="S956" i="51" s="1"/>
  <c r="T956" i="51" s="1"/>
  <c r="U956" i="51" s="1"/>
  <c r="V956" i="51" s="1"/>
  <c r="P892" i="51"/>
  <c r="R892" i="51" s="1"/>
  <c r="S892" i="51" s="1"/>
  <c r="Y682" i="51"/>
  <c r="Y681" i="51" s="1"/>
  <c r="R890" i="51"/>
  <c r="S890" i="51" s="1"/>
  <c r="S1019" i="51"/>
  <c r="T1019" i="51" s="1"/>
  <c r="U1019" i="51" s="1"/>
  <c r="V1019" i="51" s="1"/>
  <c r="Q952" i="51"/>
  <c r="R952" i="51" s="1"/>
  <c r="S952" i="51" s="1"/>
  <c r="T952" i="51" s="1"/>
  <c r="R972" i="51"/>
  <c r="S972" i="51" s="1"/>
  <c r="R895" i="51"/>
  <c r="S895" i="51" s="1"/>
  <c r="R734" i="51"/>
  <c r="T925" i="51"/>
  <c r="P675" i="51"/>
  <c r="R963" i="51"/>
  <c r="S963" i="51" s="1"/>
  <c r="P1040" i="51"/>
  <c r="R880" i="51"/>
  <c r="S880" i="51" s="1"/>
  <c r="T880" i="51" s="1"/>
  <c r="R950" i="51"/>
  <c r="S950" i="51" s="1"/>
  <c r="T950" i="51" s="1"/>
  <c r="R921" i="51"/>
  <c r="S921" i="51" s="1"/>
  <c r="V767" i="51"/>
  <c r="V765" i="51" s="1"/>
  <c r="V764" i="51" s="1"/>
  <c r="T823" i="51"/>
  <c r="U823" i="51" s="1"/>
  <c r="T886" i="51"/>
  <c r="U886" i="51" s="1"/>
  <c r="V886" i="51" s="1"/>
  <c r="X862" i="51"/>
  <c r="Y862" i="51" s="1"/>
  <c r="R1014" i="51"/>
  <c r="S1014" i="51" s="1"/>
  <c r="R990" i="51"/>
  <c r="S990" i="51" s="1"/>
  <c r="R1029" i="51"/>
  <c r="S1029" i="51" s="1"/>
  <c r="T884" i="51"/>
  <c r="U884" i="51" s="1"/>
  <c r="V486" i="51"/>
  <c r="V485" i="51" s="1"/>
  <c r="S999" i="51"/>
  <c r="T999" i="51" s="1"/>
  <c r="P736" i="51"/>
  <c r="R308" i="51"/>
  <c r="T308" i="51"/>
  <c r="C17" i="50"/>
  <c r="C9" i="50" s="1"/>
  <c r="N211" i="56"/>
  <c r="D45" i="50" s="1"/>
  <c r="N242" i="56"/>
  <c r="Z605" i="51"/>
  <c r="D12" i="15"/>
  <c r="N465" i="56"/>
  <c r="N438" i="56" s="1"/>
  <c r="D11" i="50" s="1"/>
  <c r="O234" i="56"/>
  <c r="O211" i="56" s="1"/>
  <c r="E45" i="50" s="1"/>
  <c r="L113" i="56"/>
  <c r="S1011" i="51"/>
  <c r="T1011" i="51" s="1"/>
  <c r="U1011" i="51" s="1"/>
  <c r="X801" i="51"/>
  <c r="Y801" i="51" s="1"/>
  <c r="Y800" i="51" s="1"/>
  <c r="P744" i="51"/>
  <c r="V800" i="51"/>
  <c r="V794" i="51" s="1"/>
  <c r="S1020" i="51"/>
  <c r="T1020" i="51" s="1"/>
  <c r="R916" i="51"/>
  <c r="S916" i="51" s="1"/>
  <c r="I1040" i="51"/>
  <c r="R1025" i="51"/>
  <c r="Q875" i="51"/>
  <c r="T979" i="51"/>
  <c r="U979" i="51" s="1"/>
  <c r="T887" i="51"/>
  <c r="U887" i="51" s="1"/>
  <c r="Q954" i="51"/>
  <c r="U983" i="51"/>
  <c r="T997" i="51"/>
  <c r="U997" i="51" s="1"/>
  <c r="U821" i="51"/>
  <c r="V821" i="51" s="1"/>
  <c r="R946" i="51"/>
  <c r="S946" i="51" s="1"/>
  <c r="R977" i="51"/>
  <c r="S977" i="51" s="1"/>
  <c r="T977" i="51" s="1"/>
  <c r="Y698" i="51"/>
  <c r="Z698" i="51" s="1"/>
  <c r="R676" i="51"/>
  <c r="R675" i="51" s="1"/>
  <c r="W676" i="51"/>
  <c r="W675" i="51" s="1"/>
  <c r="R903" i="51"/>
  <c r="S903" i="51" s="1"/>
  <c r="T903" i="51" s="1"/>
  <c r="R897" i="51"/>
  <c r="S897" i="51" s="1"/>
  <c r="T897" i="51" s="1"/>
  <c r="U897" i="51" s="1"/>
  <c r="R902" i="51"/>
  <c r="S902" i="51" s="1"/>
  <c r="T902" i="51" s="1"/>
  <c r="U902" i="51" s="1"/>
  <c r="V474" i="51"/>
  <c r="X474" i="51" s="1"/>
  <c r="Z474" i="51" s="1"/>
  <c r="R893" i="51"/>
  <c r="S893" i="51" s="1"/>
  <c r="T893" i="51" s="1"/>
  <c r="Q877" i="51"/>
  <c r="R877" i="51" s="1"/>
  <c r="S877" i="51" s="1"/>
  <c r="T877" i="51" s="1"/>
  <c r="U877" i="51" s="1"/>
  <c r="V877" i="51" s="1"/>
  <c r="T373" i="51"/>
  <c r="V373" i="51" s="1"/>
  <c r="T959" i="51"/>
  <c r="U959" i="51" s="1"/>
  <c r="V246" i="51"/>
  <c r="V245" i="51" s="1"/>
  <c r="V129" i="51" s="1"/>
  <c r="V112" i="51" s="1"/>
  <c r="T882" i="51"/>
  <c r="U882" i="51" s="1"/>
  <c r="R1000" i="51"/>
  <c r="S1000" i="51" s="1"/>
  <c r="R1022" i="51"/>
  <c r="S1022" i="51" s="1"/>
  <c r="T300" i="51"/>
  <c r="U300" i="51" s="1"/>
  <c r="V300" i="51" s="1"/>
  <c r="O1040" i="51"/>
  <c r="U129" i="51"/>
  <c r="U112" i="51" s="1"/>
  <c r="R915" i="51"/>
  <c r="S915" i="51" s="1"/>
  <c r="V745" i="51"/>
  <c r="X745" i="51" s="1"/>
  <c r="Z745" i="51" s="1"/>
  <c r="R935" i="51"/>
  <c r="S935" i="51" s="1"/>
  <c r="T935" i="51" s="1"/>
  <c r="R991" i="51"/>
  <c r="S991" i="51" s="1"/>
  <c r="T991" i="51" s="1"/>
  <c r="U991" i="51" s="1"/>
  <c r="V991" i="51" s="1"/>
  <c r="Q1017" i="51"/>
  <c r="Q881" i="51"/>
  <c r="R881" i="51" s="1"/>
  <c r="T941" i="51"/>
  <c r="U941" i="51" s="1"/>
  <c r="R909" i="51"/>
  <c r="S909" i="51" s="1"/>
  <c r="T909" i="51" s="1"/>
  <c r="R928" i="51"/>
  <c r="S928" i="51" s="1"/>
  <c r="T928" i="51" s="1"/>
  <c r="U928" i="51" s="1"/>
  <c r="W544" i="51"/>
  <c r="U543" i="51"/>
  <c r="R955" i="51"/>
  <c r="S955" i="51" s="1"/>
  <c r="T955" i="51" s="1"/>
  <c r="T985" i="51"/>
  <c r="U985" i="51" s="1"/>
  <c r="W695" i="51"/>
  <c r="X695" i="51" s="1"/>
  <c r="P554" i="51"/>
  <c r="T820" i="51"/>
  <c r="U820" i="51" s="1"/>
  <c r="S1025" i="51"/>
  <c r="T1025" i="51" s="1"/>
  <c r="S375" i="51"/>
  <c r="U375" i="51" s="1"/>
  <c r="U376" i="51"/>
  <c r="W376" i="51" s="1"/>
  <c r="Y376" i="51" s="1"/>
  <c r="Q1030" i="51"/>
  <c r="P1030" i="51"/>
  <c r="T748" i="51"/>
  <c r="T743" i="51" s="1"/>
  <c r="S744" i="51"/>
  <c r="R1012" i="51"/>
  <c r="S1012" i="51" s="1"/>
  <c r="T1012" i="51" s="1"/>
  <c r="R931" i="51"/>
  <c r="R920" i="51"/>
  <c r="J1040" i="51"/>
  <c r="J1074" i="51" s="1"/>
  <c r="W735" i="51"/>
  <c r="U734" i="51"/>
  <c r="U731" i="51" s="1"/>
  <c r="U932" i="51"/>
  <c r="V932" i="51" s="1"/>
  <c r="V1034" i="51"/>
  <c r="W1034" i="51" s="1"/>
  <c r="T129" i="51"/>
  <c r="T112" i="51" s="1"/>
  <c r="S1001" i="51"/>
  <c r="T1001" i="51" s="1"/>
  <c r="Q1002" i="51"/>
  <c r="R1002" i="51" s="1"/>
  <c r="Q1027" i="51"/>
  <c r="R1018" i="51"/>
  <c r="U258" i="51"/>
  <c r="S257" i="51"/>
  <c r="S256" i="51" s="1"/>
  <c r="Z14" i="51"/>
  <c r="Z13" i="51" s="1"/>
  <c r="Z12" i="51" s="1"/>
  <c r="Z11" i="51" s="1"/>
  <c r="V13" i="51"/>
  <c r="V12" i="51" s="1"/>
  <c r="V11" i="51" s="1"/>
  <c r="W730" i="51"/>
  <c r="W729" i="51" s="1"/>
  <c r="W728" i="51" s="1"/>
  <c r="U729" i="51"/>
  <c r="U728" i="51" s="1"/>
  <c r="S522" i="51"/>
  <c r="S521" i="51" s="1"/>
  <c r="U523" i="51"/>
  <c r="W523" i="51" s="1"/>
  <c r="W522" i="51" s="1"/>
  <c r="W521" i="51" s="1"/>
  <c r="Q1005" i="51"/>
  <c r="P1005" i="51"/>
  <c r="R1015" i="51"/>
  <c r="S1015" i="51" s="1"/>
  <c r="R1004" i="51"/>
  <c r="S1004" i="51" s="1"/>
  <c r="Q876" i="51"/>
  <c r="R876" i="51" s="1"/>
  <c r="R981" i="51"/>
  <c r="S981" i="51" s="1"/>
  <c r="T981" i="51" s="1"/>
  <c r="R973" i="51"/>
  <c r="S973" i="51" s="1"/>
  <c r="R994" i="51"/>
  <c r="S994" i="51" s="1"/>
  <c r="T994" i="51" s="1"/>
  <c r="T688" i="51"/>
  <c r="R687" i="51"/>
  <c r="R737" i="51"/>
  <c r="T738" i="51"/>
  <c r="R732" i="51"/>
  <c r="T733" i="51"/>
  <c r="R967" i="51"/>
  <c r="S967" i="51" s="1"/>
  <c r="T967" i="51" s="1"/>
  <c r="X776" i="51"/>
  <c r="Z777" i="51"/>
  <c r="Z776" i="51" s="1"/>
  <c r="S1031" i="51"/>
  <c r="T1031" i="51" s="1"/>
  <c r="U1031" i="51" s="1"/>
  <c r="V472" i="51"/>
  <c r="X472" i="51" s="1"/>
  <c r="Q969" i="51"/>
  <c r="P969" i="51"/>
  <c r="R912" i="51"/>
  <c r="S912" i="51" s="1"/>
  <c r="P879" i="51"/>
  <c r="Q879" i="51"/>
  <c r="R894" i="51"/>
  <c r="S894" i="51" s="1"/>
  <c r="X653" i="51"/>
  <c r="W643" i="51"/>
  <c r="R964" i="51"/>
  <c r="S964" i="51" s="1"/>
  <c r="V523" i="51"/>
  <c r="T927" i="51"/>
  <c r="U927" i="51" s="1"/>
  <c r="R883" i="51"/>
  <c r="S883" i="51" s="1"/>
  <c r="T883" i="51" s="1"/>
  <c r="R544" i="51"/>
  <c r="P543" i="51"/>
  <c r="P980" i="51"/>
  <c r="Q980" i="51"/>
  <c r="Q976" i="51"/>
  <c r="P976" i="51"/>
  <c r="R965" i="51"/>
  <c r="S965" i="51" s="1"/>
  <c r="T965" i="51" s="1"/>
  <c r="U965" i="51" s="1"/>
  <c r="W533" i="51"/>
  <c r="W532" i="51" s="1"/>
  <c r="R924" i="51"/>
  <c r="S924" i="51" s="1"/>
  <c r="T924" i="51" s="1"/>
  <c r="R896" i="51"/>
  <c r="S896" i="51" s="1"/>
  <c r="T896" i="51" s="1"/>
  <c r="R945" i="51"/>
  <c r="S945" i="51" s="1"/>
  <c r="P1027" i="51"/>
  <c r="P127" i="51"/>
  <c r="P126" i="51" s="1"/>
  <c r="P125" i="51" s="1"/>
  <c r="P124" i="51" s="1"/>
  <c r="R128" i="51"/>
  <c r="R451" i="51"/>
  <c r="T452" i="51"/>
  <c r="X542" i="51"/>
  <c r="Z542" i="51" s="1"/>
  <c r="R910" i="51"/>
  <c r="S910" i="51" s="1"/>
  <c r="Q968" i="51"/>
  <c r="R968" i="51" s="1"/>
  <c r="S968" i="51" s="1"/>
  <c r="T948" i="51"/>
  <c r="U948" i="51" s="1"/>
  <c r="R263" i="51"/>
  <c r="T264" i="51"/>
  <c r="S476" i="51"/>
  <c r="U943" i="51"/>
  <c r="V943" i="51" s="1"/>
  <c r="S987" i="51"/>
  <c r="T987" i="51" s="1"/>
  <c r="X749" i="51"/>
  <c r="X748" i="51" s="1"/>
  <c r="X743" i="51" s="1"/>
  <c r="V748" i="51"/>
  <c r="V743" i="51" s="1"/>
  <c r="S480" i="51"/>
  <c r="V735" i="51"/>
  <c r="T734" i="51"/>
  <c r="S262" i="51"/>
  <c r="Y470" i="51"/>
  <c r="Y469" i="51" s="1"/>
  <c r="R904" i="51"/>
  <c r="S904" i="51" s="1"/>
  <c r="T904" i="51" s="1"/>
  <c r="S944" i="51"/>
  <c r="T944" i="51" s="1"/>
  <c r="U944" i="51" s="1"/>
  <c r="T905" i="51"/>
  <c r="W799" i="51"/>
  <c r="P376" i="51"/>
  <c r="R376" i="51" s="1"/>
  <c r="W693" i="51"/>
  <c r="X693" i="51" s="1"/>
  <c r="V670" i="51"/>
  <c r="V663" i="51" s="1"/>
  <c r="Z669" i="51"/>
  <c r="Z668" i="51" s="1"/>
  <c r="T888" i="51"/>
  <c r="U888" i="51" s="1"/>
  <c r="V888" i="51" s="1"/>
  <c r="R885" i="51"/>
  <c r="S885" i="51" s="1"/>
  <c r="T885" i="51" s="1"/>
  <c r="R992" i="51"/>
  <c r="S992" i="51" s="1"/>
  <c r="Q961" i="51"/>
  <c r="U481" i="51"/>
  <c r="P119" i="51"/>
  <c r="R120" i="51"/>
  <c r="R346" i="51"/>
  <c r="P345" i="51"/>
  <c r="P344" i="51" s="1"/>
  <c r="P343" i="51" s="1"/>
  <c r="R958" i="51"/>
  <c r="S958" i="51" s="1"/>
  <c r="P428" i="51"/>
  <c r="Q428" i="51"/>
  <c r="O768" i="56"/>
  <c r="O767" i="56" s="1"/>
  <c r="O763" i="56" s="1"/>
  <c r="L97" i="56"/>
  <c r="K97" i="56"/>
  <c r="C27" i="50"/>
  <c r="O114" i="56"/>
  <c r="K697" i="56"/>
  <c r="L437" i="56"/>
  <c r="K437" i="56"/>
  <c r="O99" i="56"/>
  <c r="C36" i="50"/>
  <c r="O242" i="56"/>
  <c r="K762" i="56"/>
  <c r="O110" i="56"/>
  <c r="O35" i="56"/>
  <c r="E50" i="50"/>
  <c r="E48" i="50" s="1"/>
  <c r="L488" i="56"/>
  <c r="K634" i="56"/>
  <c r="O250" i="56"/>
  <c r="O624" i="56"/>
  <c r="O614" i="56" s="1"/>
  <c r="N614" i="56"/>
  <c r="O253" i="56"/>
  <c r="O237" i="56"/>
  <c r="N236" i="56"/>
  <c r="O421" i="56"/>
  <c r="O405" i="56" s="1"/>
  <c r="O314" i="56" s="1"/>
  <c r="E70" i="50"/>
  <c r="E67" i="50" s="1"/>
  <c r="E44" i="50"/>
  <c r="M252" i="56"/>
  <c r="L421" i="56"/>
  <c r="K421" i="56"/>
  <c r="N742" i="56"/>
  <c r="N739" i="56" s="1"/>
  <c r="O743" i="56"/>
  <c r="O742" i="56" s="1"/>
  <c r="O739" i="56" s="1"/>
  <c r="K574" i="56"/>
  <c r="O247" i="56"/>
  <c r="D36" i="50"/>
  <c r="O437" i="56"/>
  <c r="O436" i="56" s="1"/>
  <c r="O738" i="56"/>
  <c r="O736" i="56" s="1"/>
  <c r="O735" i="56" s="1"/>
  <c r="C46" i="50"/>
  <c r="C42" i="50" s="1"/>
  <c r="M113" i="56"/>
  <c r="M96" i="56" s="1"/>
  <c r="C70" i="50"/>
  <c r="C67" i="50" s="1"/>
  <c r="M421" i="56"/>
  <c r="M405" i="56" s="1"/>
  <c r="M314" i="56" s="1"/>
  <c r="O666" i="56"/>
  <c r="O665" i="56" s="1"/>
  <c r="O641" i="56" s="1"/>
  <c r="O634" i="56" s="1"/>
  <c r="N665" i="56"/>
  <c r="N641" i="56" s="1"/>
  <c r="N634" i="56" s="1"/>
  <c r="L108" i="56"/>
  <c r="K108" i="56"/>
  <c r="O255" i="56"/>
  <c r="K113" i="56"/>
  <c r="O627" i="56"/>
  <c r="O625" i="56" s="1"/>
  <c r="N625" i="56"/>
  <c r="T940" i="51"/>
  <c r="U940" i="51" s="1"/>
  <c r="R1024" i="51"/>
  <c r="S1024" i="51" s="1"/>
  <c r="V462" i="51"/>
  <c r="V450" i="51" s="1"/>
  <c r="V445" i="51" s="1"/>
  <c r="V427" i="51" s="1"/>
  <c r="V334" i="51" s="1"/>
  <c r="V685" i="51"/>
  <c r="V683" i="51" s="1"/>
  <c r="T553" i="51"/>
  <c r="R550" i="51"/>
  <c r="R549" i="51" s="1"/>
  <c r="R673" i="51"/>
  <c r="P671" i="51"/>
  <c r="Q1026" i="51"/>
  <c r="P1026" i="51"/>
  <c r="S1028" i="51"/>
  <c r="T1028" i="51" s="1"/>
  <c r="R654" i="51"/>
  <c r="R642" i="51" s="1"/>
  <c r="R601" i="51" s="1"/>
  <c r="R519" i="51" s="1"/>
  <c r="R518" i="51" s="1"/>
  <c r="Z503" i="51"/>
  <c r="X495" i="51"/>
  <c r="X468" i="51" s="1"/>
  <c r="X467" i="51" s="1"/>
  <c r="X466" i="51" s="1"/>
  <c r="V455" i="51"/>
  <c r="T454" i="51"/>
  <c r="T453" i="51" s="1"/>
  <c r="Q1035" i="51"/>
  <c r="P1035" i="51"/>
  <c r="T740" i="51"/>
  <c r="R739" i="51"/>
  <c r="U263" i="51"/>
  <c r="W264" i="51"/>
  <c r="X848" i="51"/>
  <c r="Y849" i="51"/>
  <c r="Y848" i="51" s="1"/>
  <c r="R1021" i="51"/>
  <c r="S1021" i="51" s="1"/>
  <c r="V771" i="51"/>
  <c r="V768" i="51" s="1"/>
  <c r="S451" i="51"/>
  <c r="U452" i="51"/>
  <c r="R899" i="51"/>
  <c r="T1010" i="51"/>
  <c r="U1010" i="51" s="1"/>
  <c r="W470" i="51"/>
  <c r="W469" i="51" s="1"/>
  <c r="N113" i="51"/>
  <c r="U917" i="51"/>
  <c r="V917" i="51" s="1"/>
  <c r="Q1003" i="51"/>
  <c r="P1003" i="51"/>
  <c r="R878" i="51"/>
  <c r="R260" i="51"/>
  <c r="R259" i="51" s="1"/>
  <c r="V261" i="51"/>
  <c r="U933" i="51"/>
  <c r="W340" i="51"/>
  <c r="Y247" i="51"/>
  <c r="Z247" i="51" s="1"/>
  <c r="W246" i="51"/>
  <c r="R962" i="51"/>
  <c r="S962" i="51" s="1"/>
  <c r="R939" i="51"/>
  <c r="U123" i="51"/>
  <c r="S122" i="51"/>
  <c r="S121" i="51" s="1"/>
  <c r="S113" i="51" s="1"/>
  <c r="R380" i="51"/>
  <c r="T380" i="51" s="1"/>
  <c r="U507" i="51"/>
  <c r="S506" i="51"/>
  <c r="R937" i="51"/>
  <c r="S937" i="51" s="1"/>
  <c r="V370" i="51"/>
  <c r="U918" i="51"/>
  <c r="V918" i="51" s="1"/>
  <c r="Q666" i="51"/>
  <c r="Q665" i="51" s="1"/>
  <c r="Q664" i="51" s="1"/>
  <c r="U667" i="51"/>
  <c r="W667" i="51" s="1"/>
  <c r="W666" i="51" s="1"/>
  <c r="W665" i="51" s="1"/>
  <c r="W664" i="51" s="1"/>
  <c r="Z448" i="51"/>
  <c r="T1007" i="51"/>
  <c r="U1007" i="51" s="1"/>
  <c r="P122" i="51"/>
  <c r="P121" i="51" s="1"/>
  <c r="R123" i="51"/>
  <c r="Q995" i="51"/>
  <c r="P995" i="51"/>
  <c r="X696" i="51"/>
  <c r="Y696" i="51" s="1"/>
  <c r="W772" i="51"/>
  <c r="X772" i="51" s="1"/>
  <c r="Z646" i="51"/>
  <c r="X383" i="51"/>
  <c r="Z383" i="51" s="1"/>
  <c r="T891" i="51"/>
  <c r="U891" i="51" s="1"/>
  <c r="U748" i="51"/>
  <c r="U743" i="51" s="1"/>
  <c r="W749" i="51"/>
  <c r="W748" i="51" s="1"/>
  <c r="W743" i="51" s="1"/>
  <c r="R954" i="51"/>
  <c r="T666" i="51"/>
  <c r="T665" i="51" s="1"/>
  <c r="T664" i="51" s="1"/>
  <c r="T554" i="51"/>
  <c r="S936" i="51"/>
  <c r="W688" i="51"/>
  <c r="U687" i="51"/>
  <c r="U919" i="51"/>
  <c r="V919" i="51" s="1"/>
  <c r="P961" i="51"/>
  <c r="R960" i="51"/>
  <c r="V942" i="51"/>
  <c r="W942" i="51" s="1"/>
  <c r="S736" i="51"/>
  <c r="W740" i="51"/>
  <c r="U739" i="51"/>
  <c r="U470" i="51"/>
  <c r="U469" i="51" s="1"/>
  <c r="W463" i="51"/>
  <c r="W462" i="51" s="1"/>
  <c r="W450" i="51" s="1"/>
  <c r="W445" i="51" s="1"/>
  <c r="W427" i="51" s="1"/>
  <c r="W334" i="51" s="1"/>
  <c r="Q370" i="51"/>
  <c r="S370" i="51" s="1"/>
  <c r="V556" i="51"/>
  <c r="X556" i="51" s="1"/>
  <c r="X554" i="51" s="1"/>
  <c r="R554" i="51"/>
  <c r="V681" i="51"/>
  <c r="Z682" i="51"/>
  <c r="Z681" i="51" s="1"/>
  <c r="W387" i="51"/>
  <c r="W386" i="51" s="1"/>
  <c r="W385" i="51" s="1"/>
  <c r="Y388" i="51"/>
  <c r="Y387" i="51" s="1"/>
  <c r="Y386" i="51" s="1"/>
  <c r="Y385" i="51" s="1"/>
  <c r="U907" i="51"/>
  <c r="R730" i="51"/>
  <c r="T730" i="51" s="1"/>
  <c r="P729" i="51"/>
  <c r="P728" i="51" s="1"/>
  <c r="S127" i="51"/>
  <c r="S126" i="51" s="1"/>
  <c r="S125" i="51" s="1"/>
  <c r="S124" i="51" s="1"/>
  <c r="U128" i="51"/>
  <c r="X686" i="51"/>
  <c r="X685" i="51" s="1"/>
  <c r="X683" i="51" s="1"/>
  <c r="W377" i="51"/>
  <c r="Y377" i="51" s="1"/>
  <c r="P524" i="51"/>
  <c r="R525" i="51"/>
  <c r="T260" i="51"/>
  <c r="T259" i="51" s="1"/>
  <c r="R975" i="51"/>
  <c r="S975" i="51" s="1"/>
  <c r="X374" i="51"/>
  <c r="Z374" i="51" s="1"/>
  <c r="Y555" i="51"/>
  <c r="Y554" i="51" s="1"/>
  <c r="W554" i="51"/>
  <c r="Q1016" i="51"/>
  <c r="P1016" i="51"/>
  <c r="Y511" i="51"/>
  <c r="S666" i="51"/>
  <c r="S665" i="51" s="1"/>
  <c r="S664" i="51" s="1"/>
  <c r="U455" i="51"/>
  <c r="S454" i="51"/>
  <c r="S453" i="51" s="1"/>
  <c r="R984" i="51"/>
  <c r="S984" i="51" s="1"/>
  <c r="W746" i="51"/>
  <c r="Y746" i="51" s="1"/>
  <c r="R666" i="51"/>
  <c r="R665" i="51" s="1"/>
  <c r="R664" i="51" s="1"/>
  <c r="V667" i="51"/>
  <c r="X667" i="51" s="1"/>
  <c r="X666" i="51" s="1"/>
  <c r="X665" i="51" s="1"/>
  <c r="X664" i="51" s="1"/>
  <c r="Q654" i="51"/>
  <c r="Q601" i="51" s="1"/>
  <c r="Q519" i="51" s="1"/>
  <c r="Q518" i="51" s="1"/>
  <c r="Q1040" i="51" s="1"/>
  <c r="S656" i="51"/>
  <c r="T656" i="51" s="1"/>
  <c r="T971" i="51"/>
  <c r="U552" i="51"/>
  <c r="S550" i="51"/>
  <c r="S549" i="51" s="1"/>
  <c r="R978" i="51"/>
  <c r="S978" i="51" s="1"/>
  <c r="X540" i="51"/>
  <c r="Z540" i="51" s="1"/>
  <c r="V680" i="51"/>
  <c r="R974" i="51"/>
  <c r="X384" i="51"/>
  <c r="Z384" i="51" s="1"/>
  <c r="U744" i="51"/>
  <c r="T484" i="51"/>
  <c r="R483" i="51"/>
  <c r="R482" i="51" s="1"/>
  <c r="U367" i="51"/>
  <c r="U366" i="51" s="1"/>
  <c r="X677" i="51"/>
  <c r="Z677" i="51" s="1"/>
  <c r="Y253" i="51"/>
  <c r="Y252" i="51" s="1"/>
  <c r="W252" i="51"/>
  <c r="X672" i="51"/>
  <c r="S382" i="51"/>
  <c r="X241" i="51"/>
  <c r="X231" i="51" s="1"/>
  <c r="T676" i="51"/>
  <c r="T675" i="51" s="1"/>
  <c r="R889" i="51"/>
  <c r="S889" i="51" s="1"/>
  <c r="R533" i="51"/>
  <c r="R532" i="51" s="1"/>
  <c r="V535" i="51"/>
  <c r="X535" i="51" s="1"/>
  <c r="W565" i="51"/>
  <c r="U559" i="51"/>
  <c r="U558" i="51" s="1"/>
  <c r="T378" i="51"/>
  <c r="V378" i="51" s="1"/>
  <c r="U119" i="51"/>
  <c r="U116" i="51" s="1"/>
  <c r="U115" i="51" s="1"/>
  <c r="U114" i="51" s="1"/>
  <c r="W120" i="51"/>
  <c r="P874" i="51"/>
  <c r="O874" i="51"/>
  <c r="Q874" i="51" s="1"/>
  <c r="T996" i="51"/>
  <c r="W488" i="51"/>
  <c r="U485" i="51"/>
  <c r="U482" i="51" s="1"/>
  <c r="U349" i="51"/>
  <c r="S345" i="51"/>
  <c r="S344" i="51" s="1"/>
  <c r="S343" i="51" s="1"/>
  <c r="S957" i="51"/>
  <c r="T957" i="51" s="1"/>
  <c r="V369" i="51"/>
  <c r="X369" i="51" s="1"/>
  <c r="U533" i="51"/>
  <c r="U532" i="51" s="1"/>
  <c r="Y537" i="51"/>
  <c r="Y533" i="51" s="1"/>
  <c r="Y532" i="51" s="1"/>
  <c r="R744" i="51"/>
  <c r="V746" i="51"/>
  <c r="X746" i="51" s="1"/>
  <c r="T1023" i="51"/>
  <c r="U1023" i="51" s="1"/>
  <c r="U999" i="51"/>
  <c r="U273" i="51"/>
  <c r="U272" i="51" s="1"/>
  <c r="R267" i="51"/>
  <c r="P265" i="51"/>
  <c r="P262" i="51" s="1"/>
  <c r="Z248" i="51"/>
  <c r="Y504" i="51"/>
  <c r="Z504" i="51" s="1"/>
  <c r="U949" i="51"/>
  <c r="V949" i="51" s="1"/>
  <c r="R561" i="51"/>
  <c r="P559" i="51"/>
  <c r="P558" i="51" s="1"/>
  <c r="W266" i="51"/>
  <c r="U265" i="51"/>
  <c r="P116" i="51"/>
  <c r="P115" i="51" s="1"/>
  <c r="P114" i="51" s="1"/>
  <c r="R118" i="51"/>
  <c r="U668" i="51"/>
  <c r="Y669" i="51"/>
  <c r="Y668" i="51" s="1"/>
  <c r="T908" i="51"/>
  <c r="U908" i="51" s="1"/>
  <c r="X456" i="51"/>
  <c r="Z457" i="51"/>
  <c r="Z456" i="51" s="1"/>
  <c r="X476" i="51"/>
  <c r="Z476" i="51" s="1"/>
  <c r="S938" i="51"/>
  <c r="U371" i="51"/>
  <c r="W371" i="51" s="1"/>
  <c r="X252" i="51"/>
  <c r="X245" i="51" s="1"/>
  <c r="Z275" i="51"/>
  <c r="R480" i="51"/>
  <c r="U998" i="51"/>
  <c r="T533" i="51"/>
  <c r="T532" i="51" s="1"/>
  <c r="W379" i="51"/>
  <c r="Y379" i="51" s="1"/>
  <c r="T387" i="51"/>
  <c r="T386" i="51" s="1"/>
  <c r="T385" i="51" s="1"/>
  <c r="V390" i="51"/>
  <c r="U260" i="51"/>
  <c r="U259" i="51" s="1"/>
  <c r="Y261" i="51"/>
  <c r="Y260" i="51" s="1"/>
  <c r="Y259" i="51" s="1"/>
  <c r="P479" i="51"/>
  <c r="T481" i="51"/>
  <c r="V481" i="51" s="1"/>
  <c r="S986" i="51"/>
  <c r="P257" i="51"/>
  <c r="P256" i="51" s="1"/>
  <c r="R258" i="51"/>
  <c r="Z339" i="51"/>
  <c r="V678" i="51"/>
  <c r="X678" i="51" s="1"/>
  <c r="U925" i="51"/>
  <c r="Y680" i="51"/>
  <c r="Y679" i="51" s="1"/>
  <c r="R273" i="51"/>
  <c r="R272" i="51" s="1"/>
  <c r="U947" i="51"/>
  <c r="V947" i="51" s="1"/>
  <c r="R470" i="51"/>
  <c r="R469" i="51" s="1"/>
  <c r="V471" i="51"/>
  <c r="Q479" i="51"/>
  <c r="T274" i="51"/>
  <c r="V274" i="51" s="1"/>
  <c r="U737" i="51"/>
  <c r="W738" i="51"/>
  <c r="T934" i="51"/>
  <c r="U934" i="51" s="1"/>
  <c r="V368" i="51"/>
  <c r="W745" i="51"/>
  <c r="X560" i="51"/>
  <c r="W277" i="51"/>
  <c r="W273" i="51" s="1"/>
  <c r="W272" i="51" s="1"/>
  <c r="U477" i="51"/>
  <c r="W477" i="51" s="1"/>
  <c r="U993" i="51"/>
  <c r="V993" i="51" s="1"/>
  <c r="X659" i="51"/>
  <c r="Y659" i="51" s="1"/>
  <c r="U374" i="51"/>
  <c r="U914" i="51"/>
  <c r="V914" i="51" s="1"/>
  <c r="U378" i="51"/>
  <c r="T436" i="51"/>
  <c r="U436" i="51" s="1"/>
  <c r="X349" i="51"/>
  <c r="R547" i="51"/>
  <c r="U1006" i="51"/>
  <c r="V1006" i="51" s="1"/>
  <c r="U953" i="51"/>
  <c r="T470" i="51"/>
  <c r="T469" i="51" s="1"/>
  <c r="T988" i="51"/>
  <c r="Z276" i="51"/>
  <c r="U435" i="51"/>
  <c r="T744" i="51"/>
  <c r="R382" i="51"/>
  <c r="W380" i="51"/>
  <c r="Y380" i="51" s="1"/>
  <c r="Z511" i="51"/>
  <c r="Z506" i="51" s="1"/>
  <c r="V506" i="51"/>
  <c r="R1032" i="51"/>
  <c r="S1032" i="51" s="1"/>
  <c r="Y298" i="51"/>
  <c r="Z298" i="51" s="1"/>
  <c r="V342" i="51"/>
  <c r="X342" i="51" s="1"/>
  <c r="S671" i="51"/>
  <c r="U672" i="51"/>
  <c r="T340" i="51"/>
  <c r="W384" i="51"/>
  <c r="W367" i="51" s="1"/>
  <c r="W366" i="51" s="1"/>
  <c r="V1033" i="51"/>
  <c r="W1033" i="51" s="1"/>
  <c r="R371" i="51"/>
  <c r="S922" i="51"/>
  <c r="V951" i="51"/>
  <c r="W951" i="51" s="1"/>
  <c r="X539" i="51"/>
  <c r="Z539" i="51" s="1"/>
  <c r="R477" i="51"/>
  <c r="Z117" i="51"/>
  <c r="R79" i="51"/>
  <c r="R68" i="51" s="1"/>
  <c r="S80" i="51"/>
  <c r="Y117" i="51"/>
  <c r="Z809" i="51"/>
  <c r="Z804" i="51" s="1"/>
  <c r="Z803" i="51" s="1"/>
  <c r="Z808" i="51"/>
  <c r="Z818" i="51"/>
  <c r="X815" i="51"/>
  <c r="Y815" i="51" s="1"/>
  <c r="S822" i="51"/>
  <c r="Z814" i="51"/>
  <c r="V823" i="51"/>
  <c r="W819" i="51"/>
  <c r="X819" i="51" s="1"/>
  <c r="M1008" i="56" l="1"/>
  <c r="E34" i="50"/>
  <c r="D34" i="50"/>
  <c r="D37" i="15"/>
  <c r="T1014" i="51"/>
  <c r="U1014" i="51" s="1"/>
  <c r="U930" i="51"/>
  <c r="V726" i="51"/>
  <c r="U901" i="51"/>
  <c r="V901" i="51" s="1"/>
  <c r="R875" i="51"/>
  <c r="S875" i="51" s="1"/>
  <c r="X486" i="51"/>
  <c r="R731" i="51"/>
  <c r="K96" i="56"/>
  <c r="L96" i="56"/>
  <c r="W767" i="51"/>
  <c r="W765" i="51" s="1"/>
  <c r="W764" i="51" s="1"/>
  <c r="U911" i="51"/>
  <c r="T972" i="51"/>
  <c r="U972" i="51" s="1"/>
  <c r="V972" i="51" s="1"/>
  <c r="T892" i="51"/>
  <c r="U892" i="51" s="1"/>
  <c r="V892" i="51" s="1"/>
  <c r="T921" i="51"/>
  <c r="U921" i="51" s="1"/>
  <c r="T923" i="51"/>
  <c r="E32" i="50"/>
  <c r="E27" i="50" s="1"/>
  <c r="O697" i="56"/>
  <c r="N697" i="56"/>
  <c r="V900" i="51"/>
  <c r="W900" i="51" s="1"/>
  <c r="X900" i="51" s="1"/>
  <c r="Y900" i="51" s="1"/>
  <c r="T895" i="51"/>
  <c r="U895" i="51" s="1"/>
  <c r="V887" i="51"/>
  <c r="W887" i="51" s="1"/>
  <c r="X887" i="51" s="1"/>
  <c r="V997" i="51"/>
  <c r="W997" i="51" s="1"/>
  <c r="T1029" i="51"/>
  <c r="U1029" i="51" s="1"/>
  <c r="V1029" i="51" s="1"/>
  <c r="U977" i="51"/>
  <c r="V977" i="51" s="1"/>
  <c r="W977" i="51" s="1"/>
  <c r="Y675" i="51"/>
  <c r="V884" i="51"/>
  <c r="W884" i="51" s="1"/>
  <c r="X929" i="51"/>
  <c r="Y929" i="51" s="1"/>
  <c r="Z929" i="51" s="1"/>
  <c r="V979" i="51"/>
  <c r="W979" i="51" s="1"/>
  <c r="X979" i="51" s="1"/>
  <c r="Z862" i="51"/>
  <c r="T367" i="51"/>
  <c r="T366" i="51" s="1"/>
  <c r="Z801" i="51"/>
  <c r="Z800" i="51" s="1"/>
  <c r="U1020" i="51"/>
  <c r="V1020" i="51" s="1"/>
  <c r="W1020" i="51" s="1"/>
  <c r="X800" i="51"/>
  <c r="X1034" i="51"/>
  <c r="Y1034" i="51" s="1"/>
  <c r="Z1034" i="51" s="1"/>
  <c r="Z446" i="51"/>
  <c r="D68" i="15" s="1"/>
  <c r="D44" i="50"/>
  <c r="N613" i="56"/>
  <c r="N437" i="56"/>
  <c r="N436" i="56" s="1"/>
  <c r="N235" i="56"/>
  <c r="N113" i="56" s="1"/>
  <c r="C72" i="50"/>
  <c r="Z495" i="51"/>
  <c r="V1011" i="51"/>
  <c r="W1011" i="51" s="1"/>
  <c r="X767" i="51"/>
  <c r="X765" i="51" s="1"/>
  <c r="W1019" i="51"/>
  <c r="X1019" i="51" s="1"/>
  <c r="S876" i="51"/>
  <c r="T876" i="51" s="1"/>
  <c r="W300" i="51"/>
  <c r="X300" i="51" s="1"/>
  <c r="V983" i="51"/>
  <c r="W983" i="51" s="1"/>
  <c r="Y693" i="51"/>
  <c r="Z693" i="51" s="1"/>
  <c r="U893" i="51"/>
  <c r="V893" i="51" s="1"/>
  <c r="W744" i="51"/>
  <c r="U736" i="51"/>
  <c r="V959" i="51"/>
  <c r="W959" i="51" s="1"/>
  <c r="V882" i="51"/>
  <c r="W882" i="51" s="1"/>
  <c r="Z749" i="51"/>
  <c r="Z748" i="51" s="1"/>
  <c r="Z743" i="51" s="1"/>
  <c r="T915" i="51"/>
  <c r="U915" i="51" s="1"/>
  <c r="V820" i="51"/>
  <c r="W820" i="51" s="1"/>
  <c r="U935" i="51"/>
  <c r="V935" i="51" s="1"/>
  <c r="R736" i="51"/>
  <c r="T1022" i="51"/>
  <c r="U1022" i="51" s="1"/>
  <c r="V1022" i="51" s="1"/>
  <c r="W694" i="51"/>
  <c r="J1084" i="51"/>
  <c r="W877" i="51"/>
  <c r="X877" i="51" s="1"/>
  <c r="U967" i="51"/>
  <c r="V967" i="51" s="1"/>
  <c r="W967" i="51" s="1"/>
  <c r="R976" i="51"/>
  <c r="S976" i="51" s="1"/>
  <c r="T973" i="51"/>
  <c r="X744" i="51"/>
  <c r="S881" i="51"/>
  <c r="T881" i="51" s="1"/>
  <c r="U881" i="51" s="1"/>
  <c r="V881" i="51" s="1"/>
  <c r="W245" i="51"/>
  <c r="W129" i="51" s="1"/>
  <c r="W112" i="51" s="1"/>
  <c r="R1027" i="51"/>
  <c r="S1027" i="51" s="1"/>
  <c r="T1027" i="51" s="1"/>
  <c r="R1017" i="51"/>
  <c r="U898" i="51"/>
  <c r="V898" i="51" s="1"/>
  <c r="V985" i="51"/>
  <c r="W985" i="51" s="1"/>
  <c r="R1030" i="51"/>
  <c r="S1030" i="51" s="1"/>
  <c r="T1030" i="51" s="1"/>
  <c r="U1030" i="51" s="1"/>
  <c r="Y544" i="51"/>
  <c r="Y543" i="51" s="1"/>
  <c r="W543" i="51"/>
  <c r="R961" i="51"/>
  <c r="S961" i="51" s="1"/>
  <c r="T961" i="51" s="1"/>
  <c r="U961" i="51" s="1"/>
  <c r="R1005" i="51"/>
  <c r="S1005" i="51" s="1"/>
  <c r="W734" i="51"/>
  <c r="W731" i="51" s="1"/>
  <c r="Y735" i="51"/>
  <c r="Y734" i="51" s="1"/>
  <c r="Y731" i="51" s="1"/>
  <c r="W375" i="51"/>
  <c r="Y375" i="51" s="1"/>
  <c r="S931" i="51"/>
  <c r="T931" i="51" s="1"/>
  <c r="U1025" i="51"/>
  <c r="V1025" i="51" s="1"/>
  <c r="S920" i="51"/>
  <c r="T920" i="51" s="1"/>
  <c r="V688" i="51"/>
  <c r="T687" i="51"/>
  <c r="W258" i="51"/>
  <c r="U257" i="51"/>
  <c r="U256" i="51" s="1"/>
  <c r="T737" i="51"/>
  <c r="V738" i="51"/>
  <c r="S1018" i="51"/>
  <c r="T1018" i="51" s="1"/>
  <c r="U1018" i="51" s="1"/>
  <c r="Y730" i="51"/>
  <c r="Y729" i="51" s="1"/>
  <c r="Y728" i="51" s="1"/>
  <c r="W670" i="51"/>
  <c r="W663" i="51" s="1"/>
  <c r="V733" i="51"/>
  <c r="T732" i="51"/>
  <c r="T731" i="51" s="1"/>
  <c r="T1015" i="51"/>
  <c r="U522" i="51"/>
  <c r="U521" i="51" s="1"/>
  <c r="Y523" i="51"/>
  <c r="Y522" i="51" s="1"/>
  <c r="Y521" i="51" s="1"/>
  <c r="U1001" i="51"/>
  <c r="V1001" i="51" s="1"/>
  <c r="W1001" i="51" s="1"/>
  <c r="T968" i="51"/>
  <c r="U968" i="51" s="1"/>
  <c r="T945" i="51"/>
  <c r="U945" i="51" s="1"/>
  <c r="U883" i="51"/>
  <c r="T912" i="51"/>
  <c r="U912" i="51" s="1"/>
  <c r="T910" i="51"/>
  <c r="U909" i="51"/>
  <c r="V909" i="51" s="1"/>
  <c r="T964" i="51"/>
  <c r="U964" i="51" s="1"/>
  <c r="U476" i="51"/>
  <c r="W476" i="51" s="1"/>
  <c r="Y476" i="51" s="1"/>
  <c r="Y246" i="51"/>
  <c r="Y245" i="51" s="1"/>
  <c r="T263" i="51"/>
  <c r="V264" i="51"/>
  <c r="U994" i="51"/>
  <c r="V994" i="51" s="1"/>
  <c r="X694" i="51"/>
  <c r="X670" i="51" s="1"/>
  <c r="X663" i="51" s="1"/>
  <c r="T451" i="51"/>
  <c r="V452" i="51"/>
  <c r="T894" i="51"/>
  <c r="U894" i="51" s="1"/>
  <c r="T544" i="51"/>
  <c r="R543" i="51"/>
  <c r="R969" i="51"/>
  <c r="Z472" i="51"/>
  <c r="X676" i="51"/>
  <c r="V1009" i="51"/>
  <c r="W1009" i="51" s="1"/>
  <c r="X643" i="51"/>
  <c r="V948" i="51"/>
  <c r="X523" i="51"/>
  <c r="V522" i="51"/>
  <c r="V521" i="51" s="1"/>
  <c r="U981" i="51"/>
  <c r="V981" i="51" s="1"/>
  <c r="U955" i="51"/>
  <c r="R127" i="51"/>
  <c r="R126" i="51" s="1"/>
  <c r="R125" i="51" s="1"/>
  <c r="R124" i="51" s="1"/>
  <c r="T128" i="51"/>
  <c r="U262" i="51"/>
  <c r="S1013" i="51"/>
  <c r="T1013" i="51" s="1"/>
  <c r="Y695" i="51"/>
  <c r="Y694" i="51" s="1"/>
  <c r="R980" i="51"/>
  <c r="S980" i="51" s="1"/>
  <c r="T890" i="51"/>
  <c r="U890" i="51" s="1"/>
  <c r="Y653" i="51"/>
  <c r="Y643" i="51" s="1"/>
  <c r="R879" i="51"/>
  <c r="S1002" i="51"/>
  <c r="T1002" i="51" s="1"/>
  <c r="T916" i="51"/>
  <c r="U916" i="51" s="1"/>
  <c r="T376" i="51"/>
  <c r="V376" i="51" s="1"/>
  <c r="W917" i="51"/>
  <c r="X917" i="51" s="1"/>
  <c r="Y917" i="51" s="1"/>
  <c r="Z917" i="51" s="1"/>
  <c r="R1016" i="51"/>
  <c r="S1016" i="51" s="1"/>
  <c r="T1016" i="51" s="1"/>
  <c r="Y749" i="51"/>
  <c r="Y748" i="51" s="1"/>
  <c r="Y743" i="51" s="1"/>
  <c r="R995" i="51"/>
  <c r="S995" i="51" s="1"/>
  <c r="T995" i="51" s="1"/>
  <c r="R1026" i="51"/>
  <c r="S1026" i="51" s="1"/>
  <c r="T1026" i="51" s="1"/>
  <c r="T346" i="51"/>
  <c r="R345" i="51"/>
  <c r="R344" i="51" s="1"/>
  <c r="R343" i="51" s="1"/>
  <c r="V944" i="51"/>
  <c r="W944" i="51" s="1"/>
  <c r="R119" i="51"/>
  <c r="R116" i="51" s="1"/>
  <c r="R115" i="51" s="1"/>
  <c r="R114" i="51" s="1"/>
  <c r="T120" i="51"/>
  <c r="V734" i="51"/>
  <c r="X735" i="51"/>
  <c r="U987" i="51"/>
  <c r="V987" i="51" s="1"/>
  <c r="T958" i="51"/>
  <c r="U958" i="51" s="1"/>
  <c r="W943" i="51"/>
  <c r="X943" i="51" s="1"/>
  <c r="Y943" i="51" s="1"/>
  <c r="Z943" i="51" s="1"/>
  <c r="R1035" i="51"/>
  <c r="S1035" i="51" s="1"/>
  <c r="T1035" i="51" s="1"/>
  <c r="U480" i="51"/>
  <c r="X799" i="51"/>
  <c r="Y799" i="51" s="1"/>
  <c r="Y798" i="51" s="1"/>
  <c r="Y794" i="51" s="1"/>
  <c r="W798" i="51"/>
  <c r="W794" i="51" s="1"/>
  <c r="U905" i="51"/>
  <c r="V905" i="51" s="1"/>
  <c r="W481" i="51"/>
  <c r="W480" i="51" s="1"/>
  <c r="X463" i="51"/>
  <c r="Y463" i="51" s="1"/>
  <c r="Y462" i="51" s="1"/>
  <c r="Y450" i="51" s="1"/>
  <c r="C70" i="15" s="1"/>
  <c r="O613" i="56"/>
  <c r="O574" i="56" s="1"/>
  <c r="E36" i="50"/>
  <c r="O236" i="56"/>
  <c r="O10" i="56"/>
  <c r="O109" i="56"/>
  <c r="L436" i="56"/>
  <c r="K436" i="56"/>
  <c r="K489" i="56"/>
  <c r="D24" i="50"/>
  <c r="D21" i="50" s="1"/>
  <c r="O252" i="56"/>
  <c r="K302" i="56"/>
  <c r="D27" i="50"/>
  <c r="O98" i="56"/>
  <c r="E43" i="50"/>
  <c r="E24" i="50"/>
  <c r="E21" i="50" s="1"/>
  <c r="O249" i="56"/>
  <c r="O246" i="56"/>
  <c r="L405" i="56"/>
  <c r="K405" i="56"/>
  <c r="W919" i="51"/>
  <c r="X919" i="51" s="1"/>
  <c r="U1028" i="51"/>
  <c r="V1028" i="51" s="1"/>
  <c r="W1028" i="51" s="1"/>
  <c r="X1028" i="51" s="1"/>
  <c r="T654" i="51"/>
  <c r="T642" i="51" s="1"/>
  <c r="T601" i="51" s="1"/>
  <c r="T519" i="51" s="1"/>
  <c r="T518" i="51" s="1"/>
  <c r="U903" i="51"/>
  <c r="V903" i="51" s="1"/>
  <c r="X942" i="51"/>
  <c r="Y942" i="51" s="1"/>
  <c r="Z942" i="51" s="1"/>
  <c r="W739" i="51"/>
  <c r="Y740" i="51"/>
  <c r="Y739" i="51" s="1"/>
  <c r="T1000" i="51"/>
  <c r="U1000" i="51" s="1"/>
  <c r="U793" i="51"/>
  <c r="Y340" i="51"/>
  <c r="Y338" i="51" s="1"/>
  <c r="Y337" i="51" s="1"/>
  <c r="W338" i="51"/>
  <c r="W337" i="51" s="1"/>
  <c r="V260" i="51"/>
  <c r="V259" i="51" s="1"/>
  <c r="U880" i="51"/>
  <c r="V880" i="51" s="1"/>
  <c r="T982" i="51"/>
  <c r="U982" i="51" s="1"/>
  <c r="X370" i="51"/>
  <c r="Z370" i="51" s="1"/>
  <c r="W455" i="51"/>
  <c r="U454" i="51"/>
  <c r="U453" i="51" s="1"/>
  <c r="T937" i="51"/>
  <c r="U1012" i="51"/>
  <c r="V1012" i="51" s="1"/>
  <c r="Z246" i="51"/>
  <c r="P113" i="51"/>
  <c r="U971" i="51"/>
  <c r="T984" i="51"/>
  <c r="T975" i="51"/>
  <c r="U975" i="51" s="1"/>
  <c r="U896" i="51"/>
  <c r="R729" i="51"/>
  <c r="R728" i="51" s="1"/>
  <c r="V730" i="51"/>
  <c r="X730" i="51" s="1"/>
  <c r="X729" i="51" s="1"/>
  <c r="X728" i="51" s="1"/>
  <c r="Y688" i="51"/>
  <c r="Y687" i="51" s="1"/>
  <c r="W687" i="51"/>
  <c r="T963" i="51"/>
  <c r="U963" i="51" s="1"/>
  <c r="U885" i="51"/>
  <c r="V885" i="51" s="1"/>
  <c r="W771" i="51"/>
  <c r="W768" i="51" s="1"/>
  <c r="W726" i="51" s="1"/>
  <c r="Y772" i="51"/>
  <c r="Y771" i="51" s="1"/>
  <c r="Y768" i="51" s="1"/>
  <c r="C34" i="15" s="1"/>
  <c r="Z696" i="51"/>
  <c r="Y667" i="51"/>
  <c r="Y666" i="51" s="1"/>
  <c r="Y665" i="51" s="1"/>
  <c r="Y664" i="51" s="1"/>
  <c r="U666" i="51"/>
  <c r="U665" i="51" s="1"/>
  <c r="U664" i="51" s="1"/>
  <c r="W991" i="51"/>
  <c r="U122" i="51"/>
  <c r="U121" i="51" s="1"/>
  <c r="U113" i="51" s="1"/>
  <c r="W123" i="51"/>
  <c r="R1003" i="51"/>
  <c r="S1003" i="51" s="1"/>
  <c r="V965" i="51"/>
  <c r="U923" i="51"/>
  <c r="V923" i="51" s="1"/>
  <c r="S954" i="51"/>
  <c r="T992" i="51"/>
  <c r="U992" i="51" s="1"/>
  <c r="W263" i="51"/>
  <c r="Y264" i="51"/>
  <c r="Y263" i="51" s="1"/>
  <c r="S899" i="51"/>
  <c r="S939" i="51"/>
  <c r="Z686" i="51"/>
  <c r="Z685" i="51" s="1"/>
  <c r="Z683" i="51" s="1"/>
  <c r="V911" i="51"/>
  <c r="W552" i="51"/>
  <c r="U550" i="51"/>
  <c r="U549" i="51" s="1"/>
  <c r="U656" i="51"/>
  <c r="U654" i="51" s="1"/>
  <c r="U642" i="51" s="1"/>
  <c r="U601" i="51" s="1"/>
  <c r="U519" i="51" s="1"/>
  <c r="S654" i="51"/>
  <c r="S642" i="51" s="1"/>
  <c r="S601" i="51" s="1"/>
  <c r="S519" i="51" s="1"/>
  <c r="S518" i="51" s="1"/>
  <c r="T962" i="51"/>
  <c r="U962" i="51" s="1"/>
  <c r="U952" i="51"/>
  <c r="V952" i="51" s="1"/>
  <c r="W452" i="51"/>
  <c r="U451" i="51"/>
  <c r="X771" i="51"/>
  <c r="X768" i="51" s="1"/>
  <c r="T673" i="51"/>
  <c r="R671" i="51"/>
  <c r="X533" i="51"/>
  <c r="X532" i="51" s="1"/>
  <c r="X1008" i="51"/>
  <c r="Y1008" i="51" s="1"/>
  <c r="V902" i="51"/>
  <c r="W902" i="51" s="1"/>
  <c r="U924" i="51"/>
  <c r="V924" i="51" s="1"/>
  <c r="X261" i="51"/>
  <c r="X260" i="51" s="1"/>
  <c r="X259" i="51" s="1"/>
  <c r="U127" i="51"/>
  <c r="U126" i="51" s="1"/>
  <c r="U125" i="51" s="1"/>
  <c r="U124" i="51" s="1"/>
  <c r="W128" i="51"/>
  <c r="U370" i="51"/>
  <c r="W370" i="51" s="1"/>
  <c r="Y370" i="51" s="1"/>
  <c r="V907" i="51"/>
  <c r="S960" i="51"/>
  <c r="V1007" i="51"/>
  <c r="V933" i="51"/>
  <c r="W933" i="51" s="1"/>
  <c r="U906" i="51"/>
  <c r="Z849" i="51"/>
  <c r="Z848" i="51" s="1"/>
  <c r="U904" i="51"/>
  <c r="V904" i="51" s="1"/>
  <c r="Y384" i="51"/>
  <c r="Y367" i="51" s="1"/>
  <c r="Y366" i="51" s="1"/>
  <c r="X680" i="51"/>
  <c r="X679" i="51" s="1"/>
  <c r="V679" i="51"/>
  <c r="T978" i="51"/>
  <c r="U978" i="51" s="1"/>
  <c r="V666" i="51"/>
  <c r="V665" i="51" s="1"/>
  <c r="V664" i="51" s="1"/>
  <c r="Z667" i="51"/>
  <c r="Z666" i="51" s="1"/>
  <c r="Z665" i="51" s="1"/>
  <c r="Z664" i="51" s="1"/>
  <c r="S974" i="51"/>
  <c r="T525" i="51"/>
  <c r="R524" i="51"/>
  <c r="T729" i="51"/>
  <c r="T728" i="51" s="1"/>
  <c r="Z556" i="51"/>
  <c r="Z554" i="51" s="1"/>
  <c r="V554" i="51"/>
  <c r="T1004" i="51"/>
  <c r="U1004" i="51" s="1"/>
  <c r="T936" i="51"/>
  <c r="W956" i="51"/>
  <c r="X956" i="51" s="1"/>
  <c r="V891" i="51"/>
  <c r="W891" i="51" s="1"/>
  <c r="R122" i="51"/>
  <c r="R121" i="51" s="1"/>
  <c r="T123" i="51"/>
  <c r="U989" i="51"/>
  <c r="V928" i="51"/>
  <c r="W918" i="51"/>
  <c r="U506" i="51"/>
  <c r="W507" i="51"/>
  <c r="V380" i="51"/>
  <c r="X380" i="51" s="1"/>
  <c r="Z380" i="51" s="1"/>
  <c r="S878" i="51"/>
  <c r="T1021" i="51"/>
  <c r="U1021" i="51" s="1"/>
  <c r="V740" i="51"/>
  <c r="T739" i="51"/>
  <c r="X455" i="51"/>
  <c r="V454" i="51"/>
  <c r="V453" i="51" s="1"/>
  <c r="X485" i="51"/>
  <c r="Z486" i="51"/>
  <c r="Z485" i="51" s="1"/>
  <c r="T990" i="51"/>
  <c r="U990" i="51" s="1"/>
  <c r="V927" i="51"/>
  <c r="V553" i="51"/>
  <c r="T550" i="51"/>
  <c r="T549" i="51" s="1"/>
  <c r="T1024" i="51"/>
  <c r="U1024" i="51" s="1"/>
  <c r="T946" i="51"/>
  <c r="V940" i="51"/>
  <c r="W940" i="51" s="1"/>
  <c r="V480" i="51"/>
  <c r="X913" i="51"/>
  <c r="Y913" i="51" s="1"/>
  <c r="T1032" i="51"/>
  <c r="U1032" i="51" s="1"/>
  <c r="T547" i="51"/>
  <c r="Z342" i="51"/>
  <c r="W914" i="51"/>
  <c r="X914" i="51" s="1"/>
  <c r="Z659" i="51"/>
  <c r="V930" i="51"/>
  <c r="W888" i="51"/>
  <c r="X888" i="51" s="1"/>
  <c r="R479" i="51"/>
  <c r="T966" i="51"/>
  <c r="U966" i="51" s="1"/>
  <c r="T118" i="51"/>
  <c r="Y266" i="51"/>
  <c r="Y265" i="51" s="1"/>
  <c r="W265" i="51"/>
  <c r="W949" i="51"/>
  <c r="X949" i="51" s="1"/>
  <c r="T267" i="51"/>
  <c r="R265" i="51"/>
  <c r="R262" i="51" s="1"/>
  <c r="V1023" i="51"/>
  <c r="W1023" i="51" s="1"/>
  <c r="U957" i="51"/>
  <c r="V957" i="51" s="1"/>
  <c r="Y488" i="51"/>
  <c r="Y485" i="51" s="1"/>
  <c r="Y482" i="51" s="1"/>
  <c r="W485" i="51"/>
  <c r="W482" i="51" s="1"/>
  <c r="W119" i="51"/>
  <c r="W116" i="51" s="1"/>
  <c r="W115" i="51" s="1"/>
  <c r="W114" i="51" s="1"/>
  <c r="Y120" i="51"/>
  <c r="Y119" i="51" s="1"/>
  <c r="Y116" i="51" s="1"/>
  <c r="Y115" i="51" s="1"/>
  <c r="Y114" i="51" s="1"/>
  <c r="V953" i="51"/>
  <c r="Y745" i="51"/>
  <c r="Y744" i="51" s="1"/>
  <c r="T338" i="51"/>
  <c r="T337" i="51" s="1"/>
  <c r="W672" i="51"/>
  <c r="U671" i="51"/>
  <c r="V367" i="51"/>
  <c r="V366" i="51" s="1"/>
  <c r="V470" i="51"/>
  <c r="V469" i="51" s="1"/>
  <c r="V273" i="51"/>
  <c r="V272" i="51" s="1"/>
  <c r="Z672" i="51"/>
  <c r="X1033" i="51"/>
  <c r="Y1033" i="51" s="1"/>
  <c r="W1006" i="51"/>
  <c r="X1006" i="51" s="1"/>
  <c r="Z349" i="51"/>
  <c r="Z560" i="51"/>
  <c r="V934" i="51"/>
  <c r="W934" i="51" s="1"/>
  <c r="Y738" i="51"/>
  <c r="Y737" i="51" s="1"/>
  <c r="W737" i="51"/>
  <c r="T273" i="51"/>
  <c r="T272" i="51" s="1"/>
  <c r="X274" i="51"/>
  <c r="X273" i="51" s="1"/>
  <c r="X272" i="51" s="1"/>
  <c r="W947" i="51"/>
  <c r="X947" i="51" s="1"/>
  <c r="W932" i="51"/>
  <c r="X932" i="51" s="1"/>
  <c r="V941" i="51"/>
  <c r="W941" i="51" s="1"/>
  <c r="Z253" i="51"/>
  <c r="Z252" i="51" s="1"/>
  <c r="Y371" i="51"/>
  <c r="T561" i="51"/>
  <c r="R559" i="51"/>
  <c r="R558" i="51" s="1"/>
  <c r="V970" i="51"/>
  <c r="W970" i="51" s="1"/>
  <c r="V1031" i="51"/>
  <c r="W349" i="51"/>
  <c r="U345" i="51"/>
  <c r="U344" i="51" s="1"/>
  <c r="U343" i="51" s="1"/>
  <c r="V999" i="51"/>
  <c r="U382" i="51"/>
  <c r="W382" i="51" s="1"/>
  <c r="W374" i="51"/>
  <c r="Y374" i="51" s="1"/>
  <c r="T986" i="51"/>
  <c r="U986" i="51" s="1"/>
  <c r="T382" i="51"/>
  <c r="V382" i="51" s="1"/>
  <c r="T371" i="51"/>
  <c r="W993" i="51"/>
  <c r="T480" i="51"/>
  <c r="X481" i="51"/>
  <c r="X480" i="51" s="1"/>
  <c r="V908" i="51"/>
  <c r="W908" i="51" s="1"/>
  <c r="Z746" i="51"/>
  <c r="Z744" i="51" s="1"/>
  <c r="V744" i="51"/>
  <c r="Z369" i="51"/>
  <c r="V1010" i="51"/>
  <c r="W1010" i="51" s="1"/>
  <c r="Y565" i="51"/>
  <c r="Y559" i="51" s="1"/>
  <c r="Y558" i="51" s="1"/>
  <c r="W559" i="51"/>
  <c r="W558" i="51" s="1"/>
  <c r="Z535" i="51"/>
  <c r="Z533" i="51" s="1"/>
  <c r="Z532" i="51" s="1"/>
  <c r="V533" i="51"/>
  <c r="V532" i="51" s="1"/>
  <c r="T889" i="51"/>
  <c r="U889" i="51" s="1"/>
  <c r="U988" i="51"/>
  <c r="X926" i="51"/>
  <c r="X951" i="51"/>
  <c r="Y951" i="51" s="1"/>
  <c r="W886" i="51"/>
  <c r="X471" i="51"/>
  <c r="X470" i="51" s="1"/>
  <c r="X469" i="51" s="1"/>
  <c r="T477" i="51"/>
  <c r="Y477" i="51"/>
  <c r="S479" i="51"/>
  <c r="T922" i="51"/>
  <c r="V676" i="51"/>
  <c r="Z678" i="51"/>
  <c r="Z676" i="51" s="1"/>
  <c r="R257" i="51"/>
  <c r="R256" i="51" s="1"/>
  <c r="T258" i="51"/>
  <c r="V1014" i="51"/>
  <c r="W1014" i="51" s="1"/>
  <c r="X390" i="51"/>
  <c r="V387" i="51"/>
  <c r="V386" i="51" s="1"/>
  <c r="V385" i="51" s="1"/>
  <c r="V340" i="51"/>
  <c r="Y277" i="51"/>
  <c r="Y273" i="51" s="1"/>
  <c r="Y272" i="51" s="1"/>
  <c r="T938" i="51"/>
  <c r="X373" i="51"/>
  <c r="Z373" i="51" s="1"/>
  <c r="R874" i="51"/>
  <c r="X378" i="51"/>
  <c r="Z378" i="51" s="1"/>
  <c r="V925" i="51"/>
  <c r="X368" i="51"/>
  <c r="V897" i="51"/>
  <c r="W897" i="51" s="1"/>
  <c r="X219" i="51"/>
  <c r="X218" i="51" s="1"/>
  <c r="X129" i="51" s="1"/>
  <c r="X112" i="51" s="1"/>
  <c r="Z241" i="51"/>
  <c r="U950" i="51"/>
  <c r="V950" i="51" s="1"/>
  <c r="U996" i="51"/>
  <c r="V484" i="51"/>
  <c r="T483" i="51"/>
  <c r="T482" i="51" s="1"/>
  <c r="V998" i="51"/>
  <c r="W998" i="51" s="1"/>
  <c r="W378" i="51"/>
  <c r="Y378" i="51" s="1"/>
  <c r="S79" i="51"/>
  <c r="S68" i="51" s="1"/>
  <c r="R36" i="51"/>
  <c r="R10" i="51" s="1"/>
  <c r="R1040" i="51" s="1"/>
  <c r="R65" i="51"/>
  <c r="T80" i="51"/>
  <c r="W821" i="51"/>
  <c r="X821" i="51" s="1"/>
  <c r="Y819" i="51"/>
  <c r="Z819" i="51" s="1"/>
  <c r="T822" i="51"/>
  <c r="Z815" i="51"/>
  <c r="W823" i="51"/>
  <c r="X823" i="51" s="1"/>
  <c r="Z468" i="51" l="1"/>
  <c r="D11" i="15" s="1"/>
  <c r="W901" i="51"/>
  <c r="X901" i="51" s="1"/>
  <c r="V895" i="51"/>
  <c r="W895" i="51" s="1"/>
  <c r="X895" i="51" s="1"/>
  <c r="X997" i="51"/>
  <c r="N96" i="56"/>
  <c r="K314" i="56"/>
  <c r="L314" i="56"/>
  <c r="L1008" i="56" s="1"/>
  <c r="D46" i="50"/>
  <c r="D42" i="50" s="1"/>
  <c r="V921" i="51"/>
  <c r="W921" i="51" s="1"/>
  <c r="W987" i="51"/>
  <c r="X987" i="51" s="1"/>
  <c r="O489" i="56"/>
  <c r="O488" i="56" s="1"/>
  <c r="N574" i="56"/>
  <c r="D17" i="50" s="1"/>
  <c r="D9" i="50" s="1"/>
  <c r="C46" i="15"/>
  <c r="C42" i="15" s="1"/>
  <c r="Y129" i="51"/>
  <c r="Y112" i="51" s="1"/>
  <c r="Y887" i="51"/>
  <c r="Z887" i="51" s="1"/>
  <c r="U876" i="51"/>
  <c r="V876" i="51" s="1"/>
  <c r="Y670" i="51"/>
  <c r="T736" i="51"/>
  <c r="X884" i="51"/>
  <c r="Y884" i="51" s="1"/>
  <c r="Z884" i="51" s="1"/>
  <c r="Y1019" i="51"/>
  <c r="Z1019" i="51" s="1"/>
  <c r="Z467" i="51"/>
  <c r="Z466" i="51" s="1"/>
  <c r="E17" i="50"/>
  <c r="E9" i="50" s="1"/>
  <c r="C36" i="15"/>
  <c r="C35" i="15" s="1"/>
  <c r="Y793" i="51"/>
  <c r="X1011" i="51"/>
  <c r="Y1011" i="51" s="1"/>
  <c r="Z1011" i="51" s="1"/>
  <c r="Y300" i="51"/>
  <c r="Z300" i="51" s="1"/>
  <c r="X764" i="51"/>
  <c r="X726" i="51" s="1"/>
  <c r="Y767" i="51"/>
  <c r="X983" i="51"/>
  <c r="Y983" i="51" s="1"/>
  <c r="Z983" i="51" s="1"/>
  <c r="W893" i="51"/>
  <c r="X893" i="51" s="1"/>
  <c r="X959" i="51"/>
  <c r="Y959" i="51" s="1"/>
  <c r="Z959" i="51" s="1"/>
  <c r="X820" i="51"/>
  <c r="Y820" i="51" s="1"/>
  <c r="Z820" i="51" s="1"/>
  <c r="V915" i="51"/>
  <c r="W915" i="51" s="1"/>
  <c r="X882" i="51"/>
  <c r="Y882" i="51" s="1"/>
  <c r="Z882" i="51" s="1"/>
  <c r="V961" i="51"/>
  <c r="W961" i="51" s="1"/>
  <c r="X961" i="51" s="1"/>
  <c r="Y877" i="51"/>
  <c r="Z877" i="51" s="1"/>
  <c r="U973" i="51"/>
  <c r="V973" i="51" s="1"/>
  <c r="X462" i="51"/>
  <c r="Y895" i="51"/>
  <c r="Z895" i="51" s="1"/>
  <c r="Y736" i="51"/>
  <c r="S1017" i="51"/>
  <c r="T1017" i="51" s="1"/>
  <c r="W898" i="51"/>
  <c r="X898" i="51" s="1"/>
  <c r="X985" i="51"/>
  <c r="Y985" i="51" s="1"/>
  <c r="Z985" i="51" s="1"/>
  <c r="V675" i="51"/>
  <c r="Y262" i="51"/>
  <c r="X675" i="51"/>
  <c r="W1025" i="51"/>
  <c r="U931" i="51"/>
  <c r="X1009" i="51"/>
  <c r="Y1009" i="51" s="1"/>
  <c r="W736" i="51"/>
  <c r="T1005" i="51"/>
  <c r="U1005" i="51" s="1"/>
  <c r="V1005" i="51" s="1"/>
  <c r="U920" i="51"/>
  <c r="V920" i="51" s="1"/>
  <c r="Z245" i="51"/>
  <c r="D46" i="15" s="1"/>
  <c r="X1001" i="51"/>
  <c r="Y1001" i="51" s="1"/>
  <c r="Z1001" i="51" s="1"/>
  <c r="Z231" i="51"/>
  <c r="Z219" i="51" s="1"/>
  <c r="Z218" i="51" s="1"/>
  <c r="D45" i="15" s="1"/>
  <c r="U1015" i="51"/>
  <c r="V1015" i="51" s="1"/>
  <c r="W257" i="51"/>
  <c r="W256" i="51" s="1"/>
  <c r="Y258" i="51"/>
  <c r="Y257" i="51" s="1"/>
  <c r="Y256" i="51" s="1"/>
  <c r="V1018" i="51"/>
  <c r="W1018" i="51" s="1"/>
  <c r="X738" i="51"/>
  <c r="V737" i="51"/>
  <c r="Z695" i="51"/>
  <c r="Z694" i="51" s="1"/>
  <c r="Z670" i="51" s="1"/>
  <c r="X733" i="51"/>
  <c r="V732" i="51"/>
  <c r="V731" i="51" s="1"/>
  <c r="V687" i="51"/>
  <c r="X688" i="51"/>
  <c r="Z160" i="51"/>
  <c r="V916" i="51"/>
  <c r="W916" i="51" s="1"/>
  <c r="V890" i="51"/>
  <c r="W890" i="51" s="1"/>
  <c r="U1013" i="51"/>
  <c r="V1013" i="51" s="1"/>
  <c r="U1002" i="51"/>
  <c r="V1002" i="51" s="1"/>
  <c r="W981" i="51"/>
  <c r="X981" i="51" s="1"/>
  <c r="Y981" i="51" s="1"/>
  <c r="Z981" i="51" s="1"/>
  <c r="V968" i="51"/>
  <c r="V964" i="51"/>
  <c r="W964" i="51" s="1"/>
  <c r="T127" i="51"/>
  <c r="T126" i="51" s="1"/>
  <c r="T125" i="51" s="1"/>
  <c r="T124" i="51" s="1"/>
  <c r="V128" i="51"/>
  <c r="S969" i="51"/>
  <c r="T969" i="51" s="1"/>
  <c r="V894" i="51"/>
  <c r="W894" i="51" s="1"/>
  <c r="V263" i="51"/>
  <c r="X264" i="51"/>
  <c r="Z653" i="51"/>
  <c r="Z643" i="51" s="1"/>
  <c r="X522" i="51"/>
  <c r="X521" i="51" s="1"/>
  <c r="Z523" i="51"/>
  <c r="W262" i="51"/>
  <c r="T980" i="51"/>
  <c r="U980" i="51" s="1"/>
  <c r="V980" i="51" s="1"/>
  <c r="T543" i="51"/>
  <c r="V544" i="51"/>
  <c r="X452" i="51"/>
  <c r="V451" i="51"/>
  <c r="W994" i="51"/>
  <c r="X994" i="51" s="1"/>
  <c r="W909" i="51"/>
  <c r="V912" i="51"/>
  <c r="V945" i="51"/>
  <c r="W972" i="51"/>
  <c r="V955" i="51"/>
  <c r="W955" i="51" s="1"/>
  <c r="S879" i="51"/>
  <c r="T879" i="51" s="1"/>
  <c r="W948" i="51"/>
  <c r="X948" i="51" s="1"/>
  <c r="T976" i="51"/>
  <c r="U976" i="51" s="1"/>
  <c r="U910" i="51"/>
  <c r="V883" i="51"/>
  <c r="U1027" i="51"/>
  <c r="V1027" i="51" s="1"/>
  <c r="W1027" i="51" s="1"/>
  <c r="W905" i="51"/>
  <c r="X905" i="51" s="1"/>
  <c r="V958" i="51"/>
  <c r="W958" i="51" s="1"/>
  <c r="V120" i="51"/>
  <c r="T119" i="51"/>
  <c r="T116" i="51" s="1"/>
  <c r="T115" i="51" s="1"/>
  <c r="T114" i="51" s="1"/>
  <c r="X944" i="51"/>
  <c r="Z680" i="51"/>
  <c r="Z679" i="51" s="1"/>
  <c r="Z675" i="51" s="1"/>
  <c r="X967" i="51"/>
  <c r="Y967" i="51" s="1"/>
  <c r="Z967" i="51" s="1"/>
  <c r="X798" i="51"/>
  <c r="X794" i="51" s="1"/>
  <c r="X793" i="51" s="1"/>
  <c r="Z799" i="51"/>
  <c r="Z798" i="51" s="1"/>
  <c r="Z794" i="51" s="1"/>
  <c r="X734" i="51"/>
  <c r="Z735" i="51"/>
  <c r="Z734" i="51" s="1"/>
  <c r="X376" i="51"/>
  <c r="Z376" i="51" s="1"/>
  <c r="W793" i="51"/>
  <c r="V656" i="51"/>
  <c r="W656" i="51" s="1"/>
  <c r="Y481" i="51"/>
  <c r="Y480" i="51" s="1"/>
  <c r="V346" i="51"/>
  <c r="T345" i="51"/>
  <c r="T344" i="51" s="1"/>
  <c r="T343" i="51" s="1"/>
  <c r="Z463" i="51"/>
  <c r="K488" i="56"/>
  <c r="O108" i="56"/>
  <c r="O235" i="56"/>
  <c r="O97" i="56"/>
  <c r="W904" i="51"/>
  <c r="X904" i="51" s="1"/>
  <c r="T1003" i="51"/>
  <c r="U1003" i="51" s="1"/>
  <c r="U1016" i="51"/>
  <c r="V1016" i="51" s="1"/>
  <c r="W903" i="51"/>
  <c r="X903" i="51" s="1"/>
  <c r="W928" i="51"/>
  <c r="X928" i="51" s="1"/>
  <c r="U1035" i="51"/>
  <c r="V1035" i="51" s="1"/>
  <c r="V793" i="51"/>
  <c r="W952" i="51"/>
  <c r="X952" i="51" s="1"/>
  <c r="V1024" i="51"/>
  <c r="W1024" i="51" s="1"/>
  <c r="Y507" i="51"/>
  <c r="Y506" i="51" s="1"/>
  <c r="W506" i="51"/>
  <c r="U1026" i="51"/>
  <c r="V1026" i="51" s="1"/>
  <c r="Y452" i="51"/>
  <c r="Y451" i="51" s="1"/>
  <c r="W451" i="51"/>
  <c r="W550" i="51"/>
  <c r="W549" i="51" s="1"/>
  <c r="Y552" i="51"/>
  <c r="Y550" i="51" s="1"/>
  <c r="Y549" i="51" s="1"/>
  <c r="V963" i="51"/>
  <c r="W963" i="51" s="1"/>
  <c r="W907" i="51"/>
  <c r="X940" i="51"/>
  <c r="Z455" i="51"/>
  <c r="Z454" i="51" s="1"/>
  <c r="Z453" i="51" s="1"/>
  <c r="X454" i="51"/>
  <c r="X453" i="51" s="1"/>
  <c r="V1021" i="51"/>
  <c r="W1021" i="51" s="1"/>
  <c r="U936" i="51"/>
  <c r="V936" i="51" s="1"/>
  <c r="U984" i="51"/>
  <c r="V984" i="51" s="1"/>
  <c r="W984" i="51" s="1"/>
  <c r="V978" i="51"/>
  <c r="V906" i="51"/>
  <c r="W127" i="51"/>
  <c r="W126" i="51" s="1"/>
  <c r="W125" i="51" s="1"/>
  <c r="W124" i="51" s="1"/>
  <c r="Y128" i="51"/>
  <c r="Y127" i="51" s="1"/>
  <c r="Y126" i="51" s="1"/>
  <c r="Y125" i="51" s="1"/>
  <c r="Y124" i="51" s="1"/>
  <c r="W924" i="51"/>
  <c r="X924" i="51" s="1"/>
  <c r="X902" i="51"/>
  <c r="Y902" i="51" s="1"/>
  <c r="Z902" i="51" s="1"/>
  <c r="X918" i="51"/>
  <c r="W923" i="51"/>
  <c r="W122" i="51"/>
  <c r="W121" i="51" s="1"/>
  <c r="W113" i="51" s="1"/>
  <c r="Y123" i="51"/>
  <c r="Y122" i="51" s="1"/>
  <c r="Y121" i="51" s="1"/>
  <c r="Y113" i="51" s="1"/>
  <c r="T954" i="51"/>
  <c r="U937" i="51"/>
  <c r="V1030" i="51"/>
  <c r="W1022" i="51"/>
  <c r="X1022" i="51" s="1"/>
  <c r="Z261" i="51"/>
  <c r="Z260" i="51" s="1"/>
  <c r="Z259" i="51" s="1"/>
  <c r="U518" i="51"/>
  <c r="V1000" i="51"/>
  <c r="W1000" i="51" s="1"/>
  <c r="U946" i="51"/>
  <c r="V946" i="51" s="1"/>
  <c r="V989" i="51"/>
  <c r="X553" i="51"/>
  <c r="V550" i="51"/>
  <c r="V549" i="51" s="1"/>
  <c r="Z1008" i="51"/>
  <c r="V673" i="51"/>
  <c r="T671" i="51"/>
  <c r="V992" i="51"/>
  <c r="W885" i="51"/>
  <c r="W965" i="51"/>
  <c r="V982" i="51"/>
  <c r="W1029" i="51"/>
  <c r="X1029" i="51" s="1"/>
  <c r="T974" i="51"/>
  <c r="U974" i="51" s="1"/>
  <c r="X891" i="51"/>
  <c r="Y891" i="51" s="1"/>
  <c r="Z891" i="51" s="1"/>
  <c r="V962" i="51"/>
  <c r="W962" i="51" s="1"/>
  <c r="V896" i="51"/>
  <c r="W896" i="51" s="1"/>
  <c r="U995" i="51"/>
  <c r="V995" i="51" s="1"/>
  <c r="R113" i="51"/>
  <c r="V990" i="51"/>
  <c r="X740" i="51"/>
  <c r="V739" i="51"/>
  <c r="T878" i="51"/>
  <c r="U878" i="51" s="1"/>
  <c r="T122" i="51"/>
  <c r="T121" i="51" s="1"/>
  <c r="V123" i="51"/>
  <c r="Y956" i="51"/>
  <c r="Z956" i="51" s="1"/>
  <c r="V1004" i="51"/>
  <c r="V525" i="51"/>
  <c r="T524" i="51"/>
  <c r="W892" i="51"/>
  <c r="X933" i="51"/>
  <c r="Y933" i="51" s="1"/>
  <c r="Z933" i="51" s="1"/>
  <c r="Y445" i="51"/>
  <c r="Y427" i="51" s="1"/>
  <c r="Y334" i="51" s="1"/>
  <c r="C67" i="15"/>
  <c r="Z772" i="51"/>
  <c r="Z771" i="51" s="1"/>
  <c r="Z768" i="51" s="1"/>
  <c r="T899" i="51"/>
  <c r="V729" i="51"/>
  <c r="V728" i="51" s="1"/>
  <c r="Z730" i="51"/>
  <c r="Z729" i="51" s="1"/>
  <c r="Z728" i="51" s="1"/>
  <c r="V975" i="51"/>
  <c r="W975" i="51" s="1"/>
  <c r="W927" i="51"/>
  <c r="W1012" i="51"/>
  <c r="T939" i="51"/>
  <c r="U939" i="51" s="1"/>
  <c r="Y455" i="51"/>
  <c r="Y454" i="51" s="1"/>
  <c r="Y453" i="51" s="1"/>
  <c r="W454" i="51"/>
  <c r="W453" i="51" s="1"/>
  <c r="X991" i="51"/>
  <c r="Y991" i="51" s="1"/>
  <c r="Z991" i="51" s="1"/>
  <c r="W880" i="51"/>
  <c r="W911" i="51"/>
  <c r="X911" i="51" s="1"/>
  <c r="T960" i="51"/>
  <c r="V971" i="51"/>
  <c r="W1007" i="51"/>
  <c r="X1007" i="51" s="1"/>
  <c r="Y901" i="51"/>
  <c r="Z901" i="51" s="1"/>
  <c r="Y919" i="51"/>
  <c r="Z919" i="51" s="1"/>
  <c r="X367" i="51"/>
  <c r="X366" i="51" s="1"/>
  <c r="V483" i="51"/>
  <c r="V482" i="51" s="1"/>
  <c r="X484" i="51"/>
  <c r="X1014" i="51"/>
  <c r="W925" i="51"/>
  <c r="X925" i="51" s="1"/>
  <c r="X382" i="51"/>
  <c r="Z382" i="51" s="1"/>
  <c r="X1020" i="51"/>
  <c r="X998" i="51"/>
  <c r="Y998" i="51" s="1"/>
  <c r="X897" i="51"/>
  <c r="Y897" i="51" s="1"/>
  <c r="V338" i="51"/>
  <c r="V337" i="51" s="1"/>
  <c r="U938" i="51"/>
  <c r="V938" i="51" s="1"/>
  <c r="Z951" i="51"/>
  <c r="Y349" i="51"/>
  <c r="Y345" i="51" s="1"/>
  <c r="Y344" i="51" s="1"/>
  <c r="Y343" i="51" s="1"/>
  <c r="W345" i="51"/>
  <c r="W344" i="51" s="1"/>
  <c r="W343" i="51" s="1"/>
  <c r="X934" i="51"/>
  <c r="Y934" i="51" s="1"/>
  <c r="W935" i="51"/>
  <c r="X935" i="51" s="1"/>
  <c r="Z471" i="51"/>
  <c r="Z470" i="51" s="1"/>
  <c r="Z469" i="51" s="1"/>
  <c r="Z368" i="51"/>
  <c r="Z367" i="51" s="1"/>
  <c r="Z366" i="51" s="1"/>
  <c r="Y672" i="51"/>
  <c r="Y671" i="51" s="1"/>
  <c r="W671" i="51"/>
  <c r="V118" i="51"/>
  <c r="T479" i="51"/>
  <c r="Y888" i="51"/>
  <c r="Z888" i="51" s="1"/>
  <c r="Y914" i="51"/>
  <c r="Z914" i="51" s="1"/>
  <c r="W930" i="51"/>
  <c r="Z390" i="51"/>
  <c r="Z387" i="51" s="1"/>
  <c r="Z386" i="51" s="1"/>
  <c r="Z385" i="51" s="1"/>
  <c r="X387" i="51"/>
  <c r="X386" i="51" s="1"/>
  <c r="X385" i="51" s="1"/>
  <c r="W957" i="51"/>
  <c r="V889" i="51"/>
  <c r="W889" i="51" s="1"/>
  <c r="X908" i="51"/>
  <c r="V988" i="51"/>
  <c r="W988" i="51" s="1"/>
  <c r="X977" i="51"/>
  <c r="Y1006" i="51"/>
  <c r="Z1006" i="51" s="1"/>
  <c r="Z1033" i="51"/>
  <c r="Z274" i="51"/>
  <c r="Z273" i="51" s="1"/>
  <c r="Z272" i="51" s="1"/>
  <c r="W1031" i="51"/>
  <c r="Y926" i="51"/>
  <c r="Z926" i="51" s="1"/>
  <c r="X340" i="51"/>
  <c r="X338" i="51" s="1"/>
  <c r="X337" i="51" s="1"/>
  <c r="V996" i="51"/>
  <c r="W996" i="51" s="1"/>
  <c r="X1023" i="51"/>
  <c r="Y1023" i="51" s="1"/>
  <c r="V267" i="51"/>
  <c r="T265" i="51"/>
  <c r="T262" i="51" s="1"/>
  <c r="V966" i="51"/>
  <c r="W881" i="51"/>
  <c r="T875" i="51"/>
  <c r="U875" i="51" s="1"/>
  <c r="W953" i="51"/>
  <c r="V1032" i="51"/>
  <c r="W1032" i="51" s="1"/>
  <c r="Z481" i="51"/>
  <c r="Z480" i="51" s="1"/>
  <c r="X886" i="51"/>
  <c r="Y886" i="51" s="1"/>
  <c r="Z900" i="51"/>
  <c r="W950" i="51"/>
  <c r="X950" i="51" s="1"/>
  <c r="T257" i="51"/>
  <c r="T256" i="51" s="1"/>
  <c r="V258" i="51"/>
  <c r="V547" i="51"/>
  <c r="X547" i="51" s="1"/>
  <c r="Z547" i="51" s="1"/>
  <c r="V477" i="51"/>
  <c r="Y979" i="51"/>
  <c r="Z979" i="51" s="1"/>
  <c r="U479" i="51"/>
  <c r="W479" i="51" s="1"/>
  <c r="Y479" i="51" s="1"/>
  <c r="U922" i="51"/>
  <c r="X1010" i="51"/>
  <c r="Y1010" i="51" s="1"/>
  <c r="V986" i="51"/>
  <c r="W986" i="51" s="1"/>
  <c r="Y382" i="51"/>
  <c r="X970" i="51"/>
  <c r="Y970" i="51" s="1"/>
  <c r="V561" i="51"/>
  <c r="T559" i="51"/>
  <c r="T558" i="51" s="1"/>
  <c r="X941" i="51"/>
  <c r="Y932" i="51"/>
  <c r="Z932" i="51" s="1"/>
  <c r="Y947" i="51"/>
  <c r="Z947" i="51" s="1"/>
  <c r="Y997" i="51"/>
  <c r="Z997" i="51" s="1"/>
  <c r="S874" i="51"/>
  <c r="V371" i="51"/>
  <c r="Y1028" i="51"/>
  <c r="Z1028" i="51" s="1"/>
  <c r="W999" i="51"/>
  <c r="X999" i="51" s="1"/>
  <c r="Y949" i="51"/>
  <c r="Z949" i="51" s="1"/>
  <c r="Y987" i="51"/>
  <c r="Z987" i="51" s="1"/>
  <c r="Z913" i="51"/>
  <c r="X993" i="51"/>
  <c r="Y993" i="51" s="1"/>
  <c r="S36" i="51"/>
  <c r="S10" i="51" s="1"/>
  <c r="S1040" i="51" s="1"/>
  <c r="S65" i="51"/>
  <c r="T79" i="51"/>
  <c r="T68" i="51" s="1"/>
  <c r="T36" i="51" s="1"/>
  <c r="T10" i="51" s="1"/>
  <c r="T1040" i="51" s="1"/>
  <c r="U80" i="51"/>
  <c r="Y823" i="51"/>
  <c r="Z823" i="51" s="1"/>
  <c r="U822" i="51"/>
  <c r="V822" i="51" s="1"/>
  <c r="Y821" i="51"/>
  <c r="Z821" i="51" s="1"/>
  <c r="D34" i="15" l="1"/>
  <c r="X921" i="51"/>
  <c r="W876" i="51"/>
  <c r="X876" i="51" s="1"/>
  <c r="C24" i="15"/>
  <c r="C21" i="15" s="1"/>
  <c r="Y663" i="51"/>
  <c r="D24" i="15"/>
  <c r="D21" i="15" s="1"/>
  <c r="Z663" i="51"/>
  <c r="D72" i="50"/>
  <c r="D74" i="50" s="1"/>
  <c r="N489" i="56"/>
  <c r="N488" i="56" s="1"/>
  <c r="D44" i="15"/>
  <c r="D42" i="15" s="1"/>
  <c r="Z129" i="51"/>
  <c r="D36" i="15"/>
  <c r="D35" i="15" s="1"/>
  <c r="Z793" i="51"/>
  <c r="Z462" i="51"/>
  <c r="Z450" i="51" s="1"/>
  <c r="X1027" i="51"/>
  <c r="Y1027" i="51" s="1"/>
  <c r="V736" i="51"/>
  <c r="X450" i="51"/>
  <c r="X445" i="51" s="1"/>
  <c r="X427" i="51" s="1"/>
  <c r="X334" i="51" s="1"/>
  <c r="Y765" i="51"/>
  <c r="Y764" i="51" s="1"/>
  <c r="C32" i="15" s="1"/>
  <c r="C27" i="15" s="1"/>
  <c r="Z767" i="51"/>
  <c r="Z765" i="51" s="1"/>
  <c r="Z764" i="51" s="1"/>
  <c r="Y893" i="51"/>
  <c r="Z893" i="51" s="1"/>
  <c r="X915" i="51"/>
  <c r="Y915" i="51" s="1"/>
  <c r="Z915" i="51" s="1"/>
  <c r="W973" i="51"/>
  <c r="X973" i="51" s="1"/>
  <c r="Z1009" i="51"/>
  <c r="U1017" i="51"/>
  <c r="V1017" i="51" s="1"/>
  <c r="Y898" i="51"/>
  <c r="Z898" i="51" s="1"/>
  <c r="X1025" i="51"/>
  <c r="Y1025" i="51" s="1"/>
  <c r="Z1025" i="51" s="1"/>
  <c r="W920" i="51"/>
  <c r="X920" i="51" s="1"/>
  <c r="V931" i="51"/>
  <c r="W931" i="51" s="1"/>
  <c r="X732" i="51"/>
  <c r="X731" i="51" s="1"/>
  <c r="Z733" i="51"/>
  <c r="Z732" i="51" s="1"/>
  <c r="Z731" i="51" s="1"/>
  <c r="X737" i="51"/>
  <c r="Z738" i="51"/>
  <c r="Z737" i="51" s="1"/>
  <c r="Z688" i="51"/>
  <c r="Z687" i="51" s="1"/>
  <c r="X687" i="51"/>
  <c r="W1005" i="51"/>
  <c r="X1005" i="51" s="1"/>
  <c r="X1018" i="51"/>
  <c r="W1015" i="51"/>
  <c r="W1013" i="51"/>
  <c r="X1013" i="51" s="1"/>
  <c r="Y994" i="51"/>
  <c r="Z994" i="51" s="1"/>
  <c r="U879" i="51"/>
  <c r="V879" i="51" s="1"/>
  <c r="W980" i="51"/>
  <c r="X980" i="51" s="1"/>
  <c r="V976" i="51"/>
  <c r="W976" i="51" s="1"/>
  <c r="W1002" i="51"/>
  <c r="X1002" i="51" s="1"/>
  <c r="X916" i="51"/>
  <c r="Y916" i="51" s="1"/>
  <c r="Z916" i="51" s="1"/>
  <c r="X955" i="51"/>
  <c r="Y955" i="51" s="1"/>
  <c r="Z955" i="51" s="1"/>
  <c r="X451" i="51"/>
  <c r="Z452" i="51"/>
  <c r="Z451" i="51" s="1"/>
  <c r="X890" i="51"/>
  <c r="Y890" i="51" s="1"/>
  <c r="Z890" i="51" s="1"/>
  <c r="X544" i="51"/>
  <c r="V543" i="51"/>
  <c r="X894" i="51"/>
  <c r="Y894" i="51" s="1"/>
  <c r="Z894" i="51" s="1"/>
  <c r="V127" i="51"/>
  <c r="V126" i="51" s="1"/>
  <c r="V125" i="51" s="1"/>
  <c r="V124" i="51" s="1"/>
  <c r="X128" i="51"/>
  <c r="X964" i="51"/>
  <c r="Y964" i="51" s="1"/>
  <c r="Z964" i="51" s="1"/>
  <c r="X909" i="51"/>
  <c r="Y909" i="51" s="1"/>
  <c r="Z909" i="51" s="1"/>
  <c r="Y948" i="51"/>
  <c r="Z948" i="51" s="1"/>
  <c r="W945" i="51"/>
  <c r="X945" i="51" s="1"/>
  <c r="W883" i="51"/>
  <c r="X883" i="51" s="1"/>
  <c r="X263" i="51"/>
  <c r="Z264" i="51"/>
  <c r="Z263" i="51" s="1"/>
  <c r="X972" i="51"/>
  <c r="Y972" i="51" s="1"/>
  <c r="Z972" i="51" s="1"/>
  <c r="Y903" i="51"/>
  <c r="Z903" i="51" s="1"/>
  <c r="V910" i="51"/>
  <c r="W910" i="51" s="1"/>
  <c r="Z522" i="51"/>
  <c r="U969" i="51"/>
  <c r="V969" i="51" s="1"/>
  <c r="W912" i="51"/>
  <c r="X912" i="51" s="1"/>
  <c r="W968" i="51"/>
  <c r="X968" i="51" s="1"/>
  <c r="X346" i="51"/>
  <c r="V345" i="51"/>
  <c r="V344" i="51" s="1"/>
  <c r="V343" i="51" s="1"/>
  <c r="X958" i="51"/>
  <c r="Y958" i="51" s="1"/>
  <c r="Z958" i="51" s="1"/>
  <c r="V654" i="51"/>
  <c r="V642" i="51" s="1"/>
  <c r="V601" i="51" s="1"/>
  <c r="V519" i="51" s="1"/>
  <c r="V518" i="51" s="1"/>
  <c r="V119" i="51"/>
  <c r="V116" i="51" s="1"/>
  <c r="V115" i="51" s="1"/>
  <c r="V114" i="51" s="1"/>
  <c r="X120" i="51"/>
  <c r="Y944" i="51"/>
  <c r="Z944" i="51" s="1"/>
  <c r="Y905" i="51"/>
  <c r="Z905" i="51" s="1"/>
  <c r="E46" i="50"/>
  <c r="O113" i="56"/>
  <c r="O96" i="56" s="1"/>
  <c r="K1008" i="56"/>
  <c r="X975" i="51"/>
  <c r="Y975" i="51" s="1"/>
  <c r="Z975" i="51" s="1"/>
  <c r="X984" i="51"/>
  <c r="Y984" i="51" s="1"/>
  <c r="Z984" i="51" s="1"/>
  <c r="W936" i="51"/>
  <c r="X936" i="51" s="1"/>
  <c r="X525" i="51"/>
  <c r="V524" i="51"/>
  <c r="X739" i="51"/>
  <c r="Z740" i="51"/>
  <c r="Z739" i="51" s="1"/>
  <c r="X1021" i="51"/>
  <c r="Y1021" i="51" s="1"/>
  <c r="Z1021" i="51" s="1"/>
  <c r="Y911" i="51"/>
  <c r="Z911" i="51" s="1"/>
  <c r="Z726" i="51"/>
  <c r="W654" i="51"/>
  <c r="W642" i="51" s="1"/>
  <c r="W601" i="51" s="1"/>
  <c r="W519" i="51" s="1"/>
  <c r="W518" i="51" s="1"/>
  <c r="X673" i="51"/>
  <c r="V671" i="51"/>
  <c r="V939" i="51"/>
  <c r="W939" i="51" s="1"/>
  <c r="Y1022" i="51"/>
  <c r="Z1022" i="51" s="1"/>
  <c r="T113" i="51"/>
  <c r="V122" i="51"/>
  <c r="V121" i="51" s="1"/>
  <c r="X123" i="51"/>
  <c r="X896" i="51"/>
  <c r="X656" i="51"/>
  <c r="Y1029" i="51"/>
  <c r="Z1029" i="51" s="1"/>
  <c r="W992" i="51"/>
  <c r="X992" i="51" s="1"/>
  <c r="U960" i="51"/>
  <c r="V960" i="51" s="1"/>
  <c r="X1000" i="51"/>
  <c r="Y1000" i="51" s="1"/>
  <c r="U954" i="51"/>
  <c r="V954" i="51" s="1"/>
  <c r="W1026" i="51"/>
  <c r="X1026" i="51" s="1"/>
  <c r="W989" i="51"/>
  <c r="X1024" i="51"/>
  <c r="Y1024" i="51" s="1"/>
  <c r="Y952" i="51"/>
  <c r="Z952" i="51" s="1"/>
  <c r="W1035" i="51"/>
  <c r="X1035" i="51" s="1"/>
  <c r="Y924" i="51"/>
  <c r="Z924" i="51" s="1"/>
  <c r="W1030" i="51"/>
  <c r="U899" i="51"/>
  <c r="V899" i="51" s="1"/>
  <c r="X907" i="51"/>
  <c r="V878" i="51"/>
  <c r="W878" i="51" s="1"/>
  <c r="V1003" i="51"/>
  <c r="Y1007" i="51"/>
  <c r="Z1007" i="51" s="1"/>
  <c r="W995" i="51"/>
  <c r="X995" i="51" s="1"/>
  <c r="W990" i="51"/>
  <c r="X963" i="51"/>
  <c r="Y963" i="51" s="1"/>
  <c r="Z963" i="51" s="1"/>
  <c r="Y940" i="51"/>
  <c r="Z940" i="51" s="1"/>
  <c r="Y876" i="51"/>
  <c r="Z876" i="51" s="1"/>
  <c r="X923" i="51"/>
  <c r="X880" i="51"/>
  <c r="Y880" i="51" s="1"/>
  <c r="Z880" i="51" s="1"/>
  <c r="X892" i="51"/>
  <c r="Y892" i="51" s="1"/>
  <c r="X1012" i="51"/>
  <c r="Y1012" i="51" s="1"/>
  <c r="X962" i="51"/>
  <c r="X927" i="51"/>
  <c r="Y927" i="51" s="1"/>
  <c r="V974" i="51"/>
  <c r="X885" i="51"/>
  <c r="Y885" i="51" s="1"/>
  <c r="Z885" i="51" s="1"/>
  <c r="Z553" i="51"/>
  <c r="Z550" i="51" s="1"/>
  <c r="Z549" i="51" s="1"/>
  <c r="X550" i="51"/>
  <c r="X549" i="51" s="1"/>
  <c r="W946" i="51"/>
  <c r="W971" i="51"/>
  <c r="X971" i="51" s="1"/>
  <c r="W978" i="51"/>
  <c r="X978" i="51" s="1"/>
  <c r="Y918" i="51"/>
  <c r="Z918" i="51" s="1"/>
  <c r="W1004" i="51"/>
  <c r="V937" i="51"/>
  <c r="X965" i="51"/>
  <c r="Y965" i="51" s="1"/>
  <c r="Z965" i="51" s="1"/>
  <c r="W906" i="51"/>
  <c r="Y928" i="51"/>
  <c r="Z928" i="51" s="1"/>
  <c r="W1016" i="51"/>
  <c r="W982" i="51"/>
  <c r="X982" i="51" s="1"/>
  <c r="Y904" i="51"/>
  <c r="Z904" i="51" s="1"/>
  <c r="X561" i="51"/>
  <c r="V559" i="51"/>
  <c r="V558" i="51" s="1"/>
  <c r="V479" i="51"/>
  <c r="X479" i="51" s="1"/>
  <c r="Z479" i="51" s="1"/>
  <c r="Z1023" i="51"/>
  <c r="X988" i="51"/>
  <c r="X889" i="51"/>
  <c r="Y889" i="51" s="1"/>
  <c r="X1031" i="51"/>
  <c r="W938" i="51"/>
  <c r="X938" i="51" s="1"/>
  <c r="Z897" i="51"/>
  <c r="Z484" i="51"/>
  <c r="Z483" i="51" s="1"/>
  <c r="Z482" i="51" s="1"/>
  <c r="X483" i="51"/>
  <c r="X482" i="51" s="1"/>
  <c r="X881" i="51"/>
  <c r="Y881" i="51" s="1"/>
  <c r="X986" i="51"/>
  <c r="Y986" i="51" s="1"/>
  <c r="X996" i="51"/>
  <c r="Z970" i="51"/>
  <c r="Z1010" i="51"/>
  <c r="T874" i="51"/>
  <c r="U874" i="51" s="1"/>
  <c r="Z886" i="51"/>
  <c r="Y977" i="51"/>
  <c r="Z977" i="51" s="1"/>
  <c r="Y935" i="51"/>
  <c r="Z935" i="51" s="1"/>
  <c r="Z340" i="51"/>
  <c r="Z338" i="51" s="1"/>
  <c r="Z337" i="51" s="1"/>
  <c r="Z998" i="51"/>
  <c r="Z1027" i="51"/>
  <c r="Y1014" i="51"/>
  <c r="Z1014" i="51" s="1"/>
  <c r="X477" i="51"/>
  <c r="Z477" i="51" s="1"/>
  <c r="Y921" i="51"/>
  <c r="Z921" i="51" s="1"/>
  <c r="Y999" i="51"/>
  <c r="Z999" i="51" s="1"/>
  <c r="X1032" i="51"/>
  <c r="Y1032" i="51" s="1"/>
  <c r="X957" i="51"/>
  <c r="Z993" i="51"/>
  <c r="Y941" i="51"/>
  <c r="Z941" i="51" s="1"/>
  <c r="V257" i="51"/>
  <c r="V256" i="51" s="1"/>
  <c r="X258" i="51"/>
  <c r="Y950" i="51"/>
  <c r="Z950" i="51" s="1"/>
  <c r="Y961" i="51"/>
  <c r="Z961" i="51" s="1"/>
  <c r="V875" i="51"/>
  <c r="W875" i="51" s="1"/>
  <c r="X267" i="51"/>
  <c r="V265" i="51"/>
  <c r="V262" i="51" s="1"/>
  <c r="V922" i="51"/>
  <c r="W922" i="51" s="1"/>
  <c r="Y908" i="51"/>
  <c r="Z908" i="51" s="1"/>
  <c r="X930" i="51"/>
  <c r="X118" i="51"/>
  <c r="X953" i="51"/>
  <c r="Z934" i="51"/>
  <c r="W966" i="51"/>
  <c r="X966" i="51" s="1"/>
  <c r="Y925" i="51"/>
  <c r="Z925" i="51" s="1"/>
  <c r="Y1020" i="51"/>
  <c r="Z1020" i="51" s="1"/>
  <c r="X371" i="51"/>
  <c r="Z371" i="51" s="1"/>
  <c r="U79" i="51"/>
  <c r="U68" i="51" s="1"/>
  <c r="U36" i="51" s="1"/>
  <c r="U10" i="51" s="1"/>
  <c r="U1040" i="51" s="1"/>
  <c r="V80" i="51"/>
  <c r="W822" i="51"/>
  <c r="D32" i="15" l="1"/>
  <c r="D27" i="15" s="1"/>
  <c r="O1008" i="56"/>
  <c r="Z112" i="51"/>
  <c r="N1008" i="56"/>
  <c r="Y973" i="51"/>
  <c r="Z973" i="51" s="1"/>
  <c r="Z445" i="51"/>
  <c r="Z427" i="51" s="1"/>
  <c r="Z334" i="51" s="1"/>
  <c r="D70" i="15"/>
  <c r="D67" i="15" s="1"/>
  <c r="E42" i="50"/>
  <c r="E72" i="50" s="1"/>
  <c r="E74" i="50" s="1"/>
  <c r="Y726" i="51"/>
  <c r="W1017" i="51"/>
  <c r="X1017" i="51" s="1"/>
  <c r="Y1017" i="51" s="1"/>
  <c r="Z1017" i="51" s="1"/>
  <c r="X736" i="51"/>
  <c r="X931" i="51"/>
  <c r="Y931" i="51" s="1"/>
  <c r="Z931" i="51" s="1"/>
  <c r="Y920" i="51"/>
  <c r="Z920" i="51" s="1"/>
  <c r="Z736" i="51"/>
  <c r="X1015" i="51"/>
  <c r="Y1015" i="51" s="1"/>
  <c r="Z1015" i="51" s="1"/>
  <c r="Y1018" i="51"/>
  <c r="Z1018" i="51" s="1"/>
  <c r="Y1005" i="51"/>
  <c r="Z1005" i="51" s="1"/>
  <c r="Y980" i="51"/>
  <c r="Z980" i="51" s="1"/>
  <c r="W969" i="51"/>
  <c r="X969" i="51" s="1"/>
  <c r="X910" i="51"/>
  <c r="Y910" i="51" s="1"/>
  <c r="Z910" i="51" s="1"/>
  <c r="Y883" i="51"/>
  <c r="Z883" i="51" s="1"/>
  <c r="Y912" i="51"/>
  <c r="Z912" i="51" s="1"/>
  <c r="Z521" i="51"/>
  <c r="X127" i="51"/>
  <c r="X126" i="51" s="1"/>
  <c r="X125" i="51" s="1"/>
  <c r="X124" i="51" s="1"/>
  <c r="Z128" i="51"/>
  <c r="Z127" i="51" s="1"/>
  <c r="Z126" i="51" s="1"/>
  <c r="Z125" i="51" s="1"/>
  <c r="Z124" i="51" s="1"/>
  <c r="X543" i="51"/>
  <c r="Z544" i="51"/>
  <c r="Z543" i="51" s="1"/>
  <c r="Y1002" i="51"/>
  <c r="Z1002" i="51" s="1"/>
  <c r="X976" i="51"/>
  <c r="Y976" i="51" s="1"/>
  <c r="Z976" i="51" s="1"/>
  <c r="W879" i="51"/>
  <c r="X879" i="51" s="1"/>
  <c r="Y879" i="51" s="1"/>
  <c r="Z879" i="51" s="1"/>
  <c r="Y1013" i="51"/>
  <c r="Z1013" i="51" s="1"/>
  <c r="Y968" i="51"/>
  <c r="Z968" i="51" s="1"/>
  <c r="Y945" i="51"/>
  <c r="Z945" i="51" s="1"/>
  <c r="X119" i="51"/>
  <c r="X116" i="51" s="1"/>
  <c r="X115" i="51" s="1"/>
  <c r="X114" i="51" s="1"/>
  <c r="Z120" i="51"/>
  <c r="Z119" i="51" s="1"/>
  <c r="Z346" i="51"/>
  <c r="Z345" i="51" s="1"/>
  <c r="Z344" i="51" s="1"/>
  <c r="Z343" i="51" s="1"/>
  <c r="X345" i="51"/>
  <c r="X344" i="51" s="1"/>
  <c r="X343" i="51" s="1"/>
  <c r="V113" i="51"/>
  <c r="W960" i="51"/>
  <c r="X960" i="51" s="1"/>
  <c r="Y1035" i="51"/>
  <c r="Z1035" i="51" s="1"/>
  <c r="X1016" i="51"/>
  <c r="Y1016" i="51" s="1"/>
  <c r="Y971" i="51"/>
  <c r="Z971" i="51" s="1"/>
  <c r="X524" i="51"/>
  <c r="Z525" i="51"/>
  <c r="Y978" i="51"/>
  <c r="Z978" i="51" s="1"/>
  <c r="Y995" i="51"/>
  <c r="Z995" i="51" s="1"/>
  <c r="Y992" i="51"/>
  <c r="Z992" i="51" s="1"/>
  <c r="X990" i="51"/>
  <c r="Y990" i="51" s="1"/>
  <c r="Z990" i="51" s="1"/>
  <c r="Y1026" i="51"/>
  <c r="Z1026" i="51" s="1"/>
  <c r="W937" i="51"/>
  <c r="X937" i="51" s="1"/>
  <c r="X878" i="51"/>
  <c r="X654" i="51"/>
  <c r="X642" i="51" s="1"/>
  <c r="X601" i="51" s="1"/>
  <c r="X519" i="51" s="1"/>
  <c r="X518" i="51" s="1"/>
  <c r="X989" i="51"/>
  <c r="Y989" i="51" s="1"/>
  <c r="Y656" i="51"/>
  <c r="Y654" i="51" s="1"/>
  <c r="Y642" i="51" s="1"/>
  <c r="Y601" i="51" s="1"/>
  <c r="Y923" i="51"/>
  <c r="Z923" i="51" s="1"/>
  <c r="W974" i="51"/>
  <c r="X974" i="51" s="1"/>
  <c r="W1003" i="51"/>
  <c r="X1003" i="51" s="1"/>
  <c r="Z1012" i="51"/>
  <c r="W954" i="51"/>
  <c r="X122" i="51"/>
  <c r="X121" i="51" s="1"/>
  <c r="Z123" i="51"/>
  <c r="Z122" i="51" s="1"/>
  <c r="Z121" i="51" s="1"/>
  <c r="Z673" i="51"/>
  <c r="Z671" i="51" s="1"/>
  <c r="X671" i="51"/>
  <c r="Y907" i="51"/>
  <c r="Z907" i="51" s="1"/>
  <c r="Y982" i="51"/>
  <c r="Z982" i="51" s="1"/>
  <c r="Y936" i="51"/>
  <c r="Z936" i="51" s="1"/>
  <c r="Z927" i="51"/>
  <c r="Z892" i="51"/>
  <c r="X946" i="51"/>
  <c r="Y946" i="51" s="1"/>
  <c r="X1004" i="51"/>
  <c r="Y1004" i="51" s="1"/>
  <c r="W899" i="51"/>
  <c r="X1030" i="51"/>
  <c r="Y1030" i="51" s="1"/>
  <c r="Z1030" i="51" s="1"/>
  <c r="Z1024" i="51"/>
  <c r="Z1000" i="51"/>
  <c r="Y962" i="51"/>
  <c r="Z962" i="51" s="1"/>
  <c r="X939" i="51"/>
  <c r="Y939" i="51" s="1"/>
  <c r="Z939" i="51" s="1"/>
  <c r="X906" i="51"/>
  <c r="Y906" i="51" s="1"/>
  <c r="Z906" i="51" s="1"/>
  <c r="Y896" i="51"/>
  <c r="Z896" i="51" s="1"/>
  <c r="Y953" i="51"/>
  <c r="Z953" i="51" s="1"/>
  <c r="Y938" i="51"/>
  <c r="Z938" i="51" s="1"/>
  <c r="Y1031" i="51"/>
  <c r="Z1031" i="51" s="1"/>
  <c r="Y996" i="51"/>
  <c r="Z996" i="51" s="1"/>
  <c r="X922" i="51"/>
  <c r="Y966" i="51"/>
  <c r="Z966" i="51" s="1"/>
  <c r="Z118" i="51"/>
  <c r="Z267" i="51"/>
  <c r="Z265" i="51" s="1"/>
  <c r="Z262" i="51" s="1"/>
  <c r="X265" i="51"/>
  <c r="X262" i="51" s="1"/>
  <c r="X257" i="51"/>
  <c r="X256" i="51" s="1"/>
  <c r="Z258" i="51"/>
  <c r="Z257" i="51" s="1"/>
  <c r="Z256" i="51" s="1"/>
  <c r="V874" i="51"/>
  <c r="W874" i="51" s="1"/>
  <c r="Z889" i="51"/>
  <c r="Y930" i="51"/>
  <c r="Z930" i="51" s="1"/>
  <c r="Z561" i="51"/>
  <c r="Z559" i="51" s="1"/>
  <c r="Z558" i="51" s="1"/>
  <c r="X559" i="51"/>
  <c r="X558" i="51" s="1"/>
  <c r="Z986" i="51"/>
  <c r="X875" i="51"/>
  <c r="Y875" i="51" s="1"/>
  <c r="Z1032" i="51"/>
  <c r="Y957" i="51"/>
  <c r="Z957" i="51" s="1"/>
  <c r="Z881" i="51"/>
  <c r="Y988" i="51"/>
  <c r="Z988" i="51" s="1"/>
  <c r="V79" i="51"/>
  <c r="V68" i="51" s="1"/>
  <c r="V36" i="51" s="1"/>
  <c r="V10" i="51" s="1"/>
  <c r="V1040" i="51" s="1"/>
  <c r="W80" i="51"/>
  <c r="X822" i="51"/>
  <c r="D76" i="50" l="1"/>
  <c r="D77" i="50" s="1"/>
  <c r="Z116" i="51"/>
  <c r="Z115" i="51" s="1"/>
  <c r="Z114" i="51" s="1"/>
  <c r="Z113" i="51" s="1"/>
  <c r="C17" i="15"/>
  <c r="C9" i="15" s="1"/>
  <c r="Y519" i="51"/>
  <c r="Y518" i="51" s="1"/>
  <c r="Y969" i="51"/>
  <c r="Z969" i="51" s="1"/>
  <c r="Z524" i="51"/>
  <c r="X113" i="51"/>
  <c r="Y1003" i="51"/>
  <c r="Z1003" i="51" s="1"/>
  <c r="Y878" i="51"/>
  <c r="Z878" i="51" s="1"/>
  <c r="Y974" i="51"/>
  <c r="Z974" i="51" s="1"/>
  <c r="Z656" i="51"/>
  <c r="Z654" i="51" s="1"/>
  <c r="Z642" i="51" s="1"/>
  <c r="Y937" i="51"/>
  <c r="Z937" i="51" s="1"/>
  <c r="Z1004" i="51"/>
  <c r="Z946" i="51"/>
  <c r="X954" i="51"/>
  <c r="Y954" i="51" s="1"/>
  <c r="Z954" i="51" s="1"/>
  <c r="Z989" i="51"/>
  <c r="X899" i="51"/>
  <c r="Y899" i="51" s="1"/>
  <c r="Z899" i="51" s="1"/>
  <c r="Z1016" i="51"/>
  <c r="Y960" i="51"/>
  <c r="Z960" i="51" s="1"/>
  <c r="X874" i="51"/>
  <c r="Z875" i="51"/>
  <c r="Y922" i="51"/>
  <c r="Z922" i="51" s="1"/>
  <c r="W79" i="51"/>
  <c r="W68" i="51" s="1"/>
  <c r="W36" i="51" s="1"/>
  <c r="W10" i="51" s="1"/>
  <c r="W1040" i="51" s="1"/>
  <c r="X80" i="51"/>
  <c r="X79" i="51" s="1"/>
  <c r="Y822" i="51"/>
  <c r="Z822" i="51" s="1"/>
  <c r="E76" i="50" l="1"/>
  <c r="E77" i="50" s="1"/>
  <c r="Z601" i="51"/>
  <c r="Y874" i="51"/>
  <c r="Z874" i="51" s="1"/>
  <c r="X68" i="51"/>
  <c r="X36" i="51" s="1"/>
  <c r="X10" i="51" s="1"/>
  <c r="X1040" i="51" s="1"/>
  <c r="Y80" i="51"/>
  <c r="D17" i="15" l="1"/>
  <c r="D9" i="15" s="1"/>
  <c r="Z519" i="51"/>
  <c r="Z518" i="51" s="1"/>
  <c r="Y79" i="51"/>
  <c r="Y68" i="51" s="1"/>
  <c r="C50" i="15" s="1"/>
  <c r="Z80" i="51"/>
  <c r="C48" i="15" l="1"/>
  <c r="C72" i="15" s="1"/>
  <c r="Y36" i="51"/>
  <c r="Y10" i="51" s="1"/>
  <c r="Y1040" i="51" s="1"/>
  <c r="Z79" i="51"/>
  <c r="Z68" i="51" s="1"/>
  <c r="D50" i="15" s="1"/>
  <c r="C74" i="15" l="1"/>
  <c r="C77" i="15"/>
  <c r="D48" i="15"/>
  <c r="D72" i="15" s="1"/>
  <c r="D77" i="15" s="1"/>
  <c r="Z36" i="51"/>
  <c r="Z10" i="51" s="1"/>
  <c r="Z1040" i="51" l="1"/>
  <c r="D74" i="15"/>
</calcChain>
</file>

<file path=xl/sharedStrings.xml><?xml version="1.0" encoding="utf-8"?>
<sst xmlns="http://schemas.openxmlformats.org/spreadsheetml/2006/main" count="16154" uniqueCount="1311">
  <si>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</si>
  <si>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</si>
  <si>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</si>
  <si>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</si>
  <si>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</si>
  <si>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</si>
  <si>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</si>
  <si>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</si>
  <si>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</si>
  <si>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</si>
  <si>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</si>
  <si>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</si>
  <si>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</si>
  <si>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</si>
  <si>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</si>
  <si>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</si>
  <si>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</si>
  <si>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</si>
  <si>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</si>
  <si>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</si>
  <si>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</si>
  <si>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</si>
  <si>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</si>
  <si>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</si>
  <si>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</si>
  <si>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</si>
  <si>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</si>
  <si>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</si>
  <si>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</si>
  <si>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</si>
  <si>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</si>
  <si>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</si>
  <si>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</si>
  <si>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</si>
  <si>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</si>
  <si>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</si>
  <si>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</si>
  <si>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</si>
  <si>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</si>
  <si>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</si>
  <si>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</si>
  <si>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</si>
  <si>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</si>
  <si>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</si>
  <si>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</si>
  <si>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</si>
  <si>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</si>
  <si>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</si>
  <si>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</si>
  <si>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</si>
  <si>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</si>
  <si>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</si>
  <si>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</si>
  <si>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</si>
  <si>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</si>
  <si>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</si>
  <si>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</si>
  <si>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</si>
  <si>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</si>
  <si>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</si>
  <si>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</si>
  <si>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</si>
  <si>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</si>
  <si>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</si>
  <si>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</si>
  <si>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</si>
  <si>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</si>
  <si>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</si>
  <si>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</si>
  <si>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</si>
  <si>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</si>
  <si>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</si>
  <si>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</si>
  <si>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</si>
  <si>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</si>
  <si>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</si>
  <si>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</si>
  <si>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</si>
  <si>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</si>
  <si>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</si>
  <si>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</si>
  <si>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</si>
  <si>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</si>
  <si>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</si>
  <si>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</si>
  <si>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</si>
  <si>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</si>
  <si>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</si>
  <si>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</si>
  <si>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</si>
  <si>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</si>
  <si>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</si>
  <si>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</si>
  <si>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</si>
  <si>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</si>
  <si>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</si>
  <si>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</si>
  <si>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</si>
  <si>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</si>
  <si>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</si>
  <si>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</si>
  <si>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</si>
  <si>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</si>
  <si>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</si>
  <si>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</si>
  <si>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</si>
  <si>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</si>
  <si>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</si>
  <si>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</si>
  <si>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</si>
  <si>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</si>
  <si>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</si>
  <si>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</si>
  <si>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</si>
  <si>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</si>
  <si>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</si>
  <si>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</si>
  <si>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</si>
  <si>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</si>
  <si>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</si>
  <si>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</si>
  <si>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</si>
  <si>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</si>
  <si>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</si>
  <si>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</si>
  <si>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</si>
  <si>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</si>
  <si>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</si>
  <si>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</si>
  <si>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</si>
  <si>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</si>
  <si>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</si>
  <si>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</si>
  <si>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</si>
  <si>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</si>
  <si>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</si>
  <si>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</si>
  <si>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</si>
  <si>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</si>
  <si>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</si>
  <si>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</si>
  <si>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</si>
  <si>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</si>
  <si>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</si>
  <si>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</si>
  <si>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</si>
  <si>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</si>
  <si>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</si>
  <si>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</si>
  <si>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</si>
  <si>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</si>
  <si>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</si>
  <si>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</si>
  <si>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</si>
  <si>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</si>
  <si>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</si>
  <si>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</si>
  <si>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</si>
  <si>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</si>
  <si>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</si>
  <si>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</si>
  <si>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</si>
  <si>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</si>
  <si>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</si>
  <si>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</si>
  <si>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</si>
  <si>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</si>
  <si>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</si>
  <si>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</si>
  <si>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</si>
  <si>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</si>
  <si>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</si>
  <si>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</si>
  <si>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</si>
  <si>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</si>
  <si>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</si>
  <si>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</si>
  <si>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</si>
  <si>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</si>
  <si>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</si>
  <si>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</si>
  <si>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</si>
  <si>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</si>
  <si>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</si>
  <si>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</si>
  <si>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</si>
  <si>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</si>
  <si>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</si>
  <si>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</si>
  <si>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</si>
  <si>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</si>
  <si>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</si>
  <si>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</si>
  <si>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</si>
  <si>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</si>
  <si>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</si>
  <si>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</si>
  <si>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</si>
  <si>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</si>
  <si>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</si>
  <si>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</si>
  <si>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</si>
  <si>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</si>
  <si>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</si>
  <si>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</si>
  <si>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</si>
  <si>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</si>
  <si>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</si>
  <si>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</si>
  <si>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</si>
  <si>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</si>
  <si>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</si>
  <si>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</si>
  <si>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</si>
  <si>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</si>
  <si>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</si>
  <si>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</si>
  <si>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</si>
  <si>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</si>
  <si>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</si>
  <si>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</si>
  <si>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</si>
  <si>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</si>
  <si>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</si>
  <si>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</si>
  <si>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</si>
  <si>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</si>
  <si>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</si>
  <si>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</si>
  <si>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</si>
  <si>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</si>
  <si>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</si>
  <si>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</si>
  <si>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</si>
  <si>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</si>
  <si>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</si>
  <si>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</si>
  <si>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</si>
  <si>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</si>
  <si>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</si>
  <si>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</si>
  <si>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</si>
  <si>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</si>
  <si>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</si>
  <si>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</si>
  <si>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</si>
  <si>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</si>
  <si>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</si>
  <si>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</si>
  <si>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</si>
  <si>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</si>
  <si>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</si>
  <si>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</si>
  <si>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</si>
  <si>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</si>
  <si>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</si>
  <si>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</si>
  <si>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</si>
  <si>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</si>
  <si>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</si>
  <si>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</si>
  <si>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</si>
  <si>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</si>
  <si>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</si>
  <si>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</si>
  <si>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</si>
  <si>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</si>
  <si>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</si>
  <si>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</si>
  <si>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</si>
  <si>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</si>
  <si>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</si>
  <si>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</si>
  <si>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</si>
  <si>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</si>
  <si>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</si>
  <si>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</si>
  <si>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</si>
  <si>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</si>
  <si>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</si>
  <si>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</si>
  <si>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</si>
  <si>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</si>
  <si>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</si>
  <si>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</si>
  <si>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</si>
  <si>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</si>
  <si>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</si>
  <si>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</si>
  <si>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</si>
  <si>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</si>
  <si>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</si>
  <si>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</si>
  <si>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</si>
  <si>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</si>
  <si>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</si>
  <si>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</si>
  <si>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</si>
  <si>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</si>
  <si>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</si>
  <si>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</si>
  <si>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</si>
  <si>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</si>
  <si>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</si>
  <si>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</si>
  <si>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</si>
  <si>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</si>
  <si>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</si>
  <si>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</si>
  <si>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</si>
  <si>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</si>
  <si>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</si>
  <si>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</si>
  <si>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</si>
  <si>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</si>
  <si>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</si>
  <si>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</si>
  <si>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</si>
  <si>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</si>
  <si>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</si>
  <si>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</si>
  <si>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</si>
  <si>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</si>
  <si>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</si>
  <si>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</si>
  <si>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</si>
  <si>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</si>
  <si>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</si>
  <si>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</si>
  <si>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</si>
  <si>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</si>
  <si>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</si>
  <si>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</si>
  <si>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</si>
  <si>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</si>
  <si>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</si>
  <si>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</si>
  <si>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</si>
  <si>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</si>
  <si>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</si>
  <si>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</si>
  <si>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</si>
  <si>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</si>
  <si>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</si>
  <si>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</si>
  <si>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</si>
  <si>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</si>
  <si>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</si>
  <si>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</si>
  <si>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</si>
  <si>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</si>
  <si>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</si>
  <si>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</si>
  <si>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</si>
  <si>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</si>
  <si>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</si>
  <si>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</si>
  <si>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</si>
  <si>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</si>
  <si>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</si>
  <si>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</si>
  <si>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</si>
  <si>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</si>
  <si>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</si>
  <si>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</si>
  <si>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</si>
  <si>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</si>
  <si>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</si>
  <si>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</si>
  <si>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</si>
  <si>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</si>
  <si>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</si>
  <si>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</si>
  <si>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</si>
  <si>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</si>
  <si>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</si>
  <si>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</si>
  <si>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</si>
  <si>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</si>
  <si>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</si>
  <si>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</si>
  <si>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</si>
  <si>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</si>
  <si>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</si>
  <si>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</si>
  <si>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</si>
  <si>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</si>
  <si>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</si>
  <si>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</si>
  <si>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</si>
  <si>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</si>
  <si>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</si>
  <si>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</si>
  <si>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</si>
  <si>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</si>
  <si>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</si>
  <si>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</si>
  <si>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</si>
  <si>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</si>
  <si>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</si>
  <si>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</si>
  <si>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</si>
  <si>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</si>
  <si>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</si>
  <si>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</si>
  <si>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</si>
  <si>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</si>
  <si>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</si>
  <si>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</si>
  <si>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</si>
  <si>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</si>
  <si>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</si>
  <si>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</si>
  <si>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</si>
  <si>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</si>
  <si>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</si>
  <si>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</si>
  <si>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</si>
  <si>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</si>
  <si>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</si>
  <si>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</si>
  <si>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</si>
  <si>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</si>
  <si>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</si>
  <si>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</si>
  <si>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</si>
  <si>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</si>
  <si>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</si>
  <si>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</si>
  <si>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</si>
  <si>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</si>
  <si>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</si>
  <si>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</si>
  <si>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</si>
  <si>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</si>
  <si>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</si>
  <si>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</si>
  <si>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</si>
  <si>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</si>
  <si>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</si>
  <si>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</si>
  <si>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</si>
  <si>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</si>
  <si>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</si>
  <si>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</si>
  <si>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</si>
  <si>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</si>
  <si>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</si>
  <si>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</si>
  <si>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</si>
  <si>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</si>
  <si>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</si>
  <si>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</si>
  <si>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</si>
  <si>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</si>
  <si>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</si>
  <si>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</si>
  <si>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</si>
  <si>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</si>
  <si>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</si>
  <si>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</si>
  <si>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</si>
  <si>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</si>
  <si>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</si>
  <si>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</si>
  <si>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</si>
  <si>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</si>
  <si>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</si>
  <si>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</si>
  <si>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</si>
  <si>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</si>
  <si>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</si>
  <si>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</si>
  <si>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</si>
  <si>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</si>
  <si>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</si>
  <si>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</si>
  <si>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</si>
  <si>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</si>
  <si>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</si>
  <si>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</si>
  <si>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</si>
  <si>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</si>
  <si>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</si>
  <si>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</si>
  <si>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</si>
  <si>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</si>
  <si>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</si>
  <si>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</si>
  <si>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</si>
  <si>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</si>
  <si>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</si>
  <si>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</si>
  <si>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</si>
  <si>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</si>
  <si>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</si>
  <si>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</si>
  <si>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</si>
  <si>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</si>
  <si>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</si>
  <si>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</si>
  <si>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</si>
  <si>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</si>
  <si>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</si>
  <si>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</si>
  <si>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</si>
  <si>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</si>
  <si>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</si>
  <si>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</si>
  <si>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</si>
  <si>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</si>
  <si>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</si>
  <si>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</si>
  <si>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</si>
  <si>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</si>
  <si>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</si>
  <si>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</si>
  <si>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</si>
  <si>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</si>
  <si>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</si>
  <si>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</si>
  <si>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</si>
  <si>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</si>
  <si>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</si>
  <si>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</si>
  <si>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</si>
  <si>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</si>
  <si>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</si>
  <si>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</si>
  <si>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</si>
  <si>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</si>
  <si>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</si>
  <si>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</si>
  <si>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</si>
  <si>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</si>
  <si>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</si>
  <si>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</si>
  <si>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</si>
  <si>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</si>
  <si>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</si>
  <si>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</si>
  <si>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</si>
  <si>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</si>
  <si>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</si>
  <si>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</si>
  <si>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</si>
  <si>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</si>
  <si>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</si>
  <si>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</si>
  <si>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</si>
  <si>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</si>
  <si>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</si>
  <si>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</si>
  <si>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</si>
  <si>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</si>
  <si>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</si>
  <si>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</si>
  <si>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</si>
  <si>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</si>
  <si>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</si>
  <si>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</si>
  <si>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</si>
  <si>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</si>
  <si>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</si>
  <si>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</si>
  <si>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</si>
  <si>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</si>
  <si>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</si>
  <si>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</si>
  <si>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</si>
  <si>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</si>
  <si>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</si>
  <si>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</si>
  <si>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</si>
  <si>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</si>
  <si>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</si>
  <si>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</si>
  <si>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</si>
  <si>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</si>
  <si>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</si>
  <si>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</si>
  <si>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</si>
  <si>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</si>
  <si>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</si>
  <si>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</si>
  <si>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</si>
  <si>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</si>
  <si>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</si>
  <si>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</si>
  <si>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</si>
  <si>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</si>
  <si>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</si>
  <si>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</si>
  <si>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</si>
  <si>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</si>
  <si>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</si>
  <si>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</si>
  <si>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</si>
  <si>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</si>
  <si>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</si>
  <si>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</si>
  <si>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</si>
  <si>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</si>
  <si>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</si>
  <si>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</si>
  <si>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</si>
  <si>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</si>
  <si>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</si>
  <si>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</si>
  <si>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</si>
  <si>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</si>
  <si>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</si>
  <si>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</si>
  <si>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</si>
  <si>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</si>
  <si>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</si>
  <si>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</si>
  <si>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</si>
  <si>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</si>
  <si>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</si>
  <si>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</si>
  <si>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</si>
  <si>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</si>
  <si>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</si>
  <si>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</si>
  <si>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</si>
  <si>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</si>
  <si>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</si>
  <si>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</si>
  <si>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</si>
  <si>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</si>
  <si>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</si>
  <si>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</si>
  <si>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</si>
  <si>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</si>
  <si>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</si>
  <si>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</si>
  <si>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</si>
  <si>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</si>
  <si>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</si>
  <si>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</si>
  <si>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</si>
  <si>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</si>
  <si>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</si>
  <si>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</si>
  <si>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</si>
  <si>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</si>
  <si>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</si>
  <si>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</si>
  <si>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</si>
  <si>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</si>
  <si>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</si>
  <si>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</si>
  <si>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</si>
  <si>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</si>
  <si>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</si>
  <si>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</si>
  <si>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</si>
  <si>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</si>
  <si>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</si>
  <si>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</si>
  <si>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</si>
  <si>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</si>
  <si>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</si>
  <si>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</si>
  <si>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</si>
  <si>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</si>
  <si>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</si>
  <si>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</si>
  <si>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</si>
  <si>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</si>
  <si>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</si>
  <si>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</si>
  <si>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</si>
  <si>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</si>
  <si>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</si>
  <si>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</si>
  <si>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</si>
  <si>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</si>
  <si>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</si>
  <si>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</si>
  <si>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</si>
  <si>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</si>
  <si>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</si>
  <si>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</si>
  <si>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</si>
  <si>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</si>
  <si>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</si>
  <si>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</si>
  <si>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</si>
  <si>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</si>
  <si>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</si>
  <si>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</si>
  <si>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</si>
  <si>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</si>
  <si>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</si>
  <si>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</si>
  <si>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</si>
  <si>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</si>
  <si>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</si>
  <si>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</si>
  <si>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</si>
  <si>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</si>
  <si>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</si>
  <si>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</si>
  <si>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</si>
  <si>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</si>
  <si>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</si>
  <si>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</si>
  <si>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</si>
  <si>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</si>
  <si>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</si>
  <si>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</si>
  <si>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</si>
  <si>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</si>
  <si>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</si>
  <si>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</si>
  <si>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</si>
  <si>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</si>
  <si>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</si>
  <si>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</si>
  <si>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</si>
  <si>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</si>
  <si>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</si>
  <si>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</si>
  <si>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</si>
  <si>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</si>
  <si>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</si>
  <si>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</si>
  <si>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</si>
  <si>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</si>
  <si>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</si>
  <si>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</si>
  <si>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</si>
  <si>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</si>
  <si>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</si>
  <si>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</si>
  <si>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</si>
  <si>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</si>
  <si>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</si>
  <si>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</si>
  <si>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</si>
  <si>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</si>
  <si>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</si>
  <si>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</si>
  <si>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</si>
  <si>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</si>
  <si>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</si>
  <si>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</si>
  <si>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</si>
  <si>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</si>
  <si>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</si>
  <si>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</si>
  <si>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</si>
  <si>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</si>
  <si>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</si>
  <si>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</si>
  <si>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</si>
  <si>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</si>
  <si>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</si>
  <si>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</si>
  <si>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</si>
  <si>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</si>
  <si>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</si>
  <si>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</si>
  <si>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</si>
  <si>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</si>
  <si>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</si>
  <si>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</si>
  <si>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</si>
  <si>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</si>
  <si>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</si>
  <si>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</si>
  <si>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</si>
  <si>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</si>
  <si>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</si>
  <si>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</si>
  <si>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</si>
  <si>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</si>
  <si>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</si>
  <si>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</si>
  <si>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</si>
  <si>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</si>
  <si>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</si>
  <si>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</si>
  <si>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</si>
  <si>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</si>
  <si>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</si>
  <si>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</si>
  <si>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</si>
  <si>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</si>
  <si>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</si>
  <si>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</si>
  <si>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</si>
  <si>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</si>
  <si>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</si>
  <si>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</si>
  <si>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</si>
  <si>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</si>
  <si>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</si>
  <si>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</si>
  <si>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</si>
  <si>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</si>
  <si>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</si>
  <si>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</si>
  <si>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</si>
  <si>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</si>
  <si>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</si>
  <si>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</si>
  <si>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</si>
  <si>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</si>
  <si>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</si>
  <si>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</si>
  <si>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</si>
  <si>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</si>
  <si>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</si>
  <si>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</si>
  <si>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</si>
  <si>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</si>
  <si>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</si>
  <si>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</si>
  <si>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</si>
  <si>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</si>
  <si>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</si>
  <si>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</si>
  <si>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</si>
  <si>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</si>
  <si>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</si>
  <si>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</si>
  <si>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</si>
  <si>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</si>
  <si>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</si>
  <si>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</si>
  <si>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</si>
  <si>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</si>
  <si>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</si>
  <si>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</si>
  <si>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</si>
  <si>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</si>
  <si>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</si>
  <si>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</si>
  <si>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</si>
  <si>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</si>
  <si>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</si>
  <si>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</si>
  <si>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</si>
  <si>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</si>
  <si>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</si>
  <si>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</si>
  <si>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</si>
  <si>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</si>
  <si>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</si>
  <si>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</si>
  <si>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</si>
  <si>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</si>
  <si>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</si>
  <si>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</si>
  <si>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</si>
  <si>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</si>
  <si>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</si>
  <si>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</si>
  <si>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</si>
  <si>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</si>
  <si>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</si>
  <si>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</si>
  <si>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</si>
  <si>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</si>
  <si>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</si>
  <si>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</si>
  <si>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</si>
  <si>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</si>
  <si>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</si>
  <si>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</si>
  <si>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</si>
  <si>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</si>
  <si>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</si>
  <si>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</si>
  <si>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</si>
  <si>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</si>
  <si>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</si>
  <si>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</si>
  <si>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</si>
  <si>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</si>
  <si>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</si>
  <si>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</si>
  <si>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</si>
  <si>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</si>
  <si>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</si>
  <si>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</si>
  <si>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</si>
  <si>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</si>
  <si>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</si>
  <si>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</si>
  <si>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</si>
  <si>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</si>
  <si>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</si>
  <si>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</si>
  <si>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</si>
  <si>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</si>
  <si>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</si>
  <si>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</si>
  <si>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</si>
  <si>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</si>
  <si>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</si>
  <si>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</si>
  <si>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</si>
  <si>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</si>
  <si>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</si>
  <si>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</si>
  <si>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</si>
  <si>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</si>
  <si>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</si>
  <si>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</si>
  <si>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</si>
  <si>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</si>
  <si>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</si>
  <si>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</si>
  <si>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</si>
  <si>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</si>
  <si>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</si>
  <si>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</si>
  <si>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</si>
  <si>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</si>
  <si>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</si>
  <si>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</si>
  <si>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</si>
  <si>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</si>
  <si>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</si>
  <si>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</si>
  <si>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</si>
  <si>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</si>
  <si>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</si>
  <si>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</si>
  <si>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</si>
  <si>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</si>
  <si>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</si>
  <si>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</si>
  <si>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</si>
  <si>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</si>
  <si>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</si>
  <si>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</si>
  <si>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</si>
  <si>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</si>
  <si>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</si>
  <si>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</si>
  <si>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</si>
  <si>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</si>
  <si>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</si>
  <si>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</si>
  <si>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</si>
  <si>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</si>
  <si>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</si>
  <si>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</si>
  <si>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</si>
  <si>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</si>
  <si>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</si>
  <si>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</si>
  <si>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</si>
  <si>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</si>
  <si>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</si>
  <si>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</si>
  <si>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</si>
  <si>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</si>
  <si>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</si>
  <si>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</si>
  <si>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</si>
  <si>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</si>
  <si>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</si>
  <si>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</si>
  <si>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</si>
  <si>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</si>
  <si>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</si>
  <si>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</si>
  <si>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</si>
  <si>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</si>
  <si>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</si>
  <si>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</si>
  <si>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</si>
  <si>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</si>
  <si>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</si>
  <si>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</si>
  <si>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</si>
  <si>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</si>
  <si>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</si>
  <si>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</si>
  <si>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</si>
  <si>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</si>
  <si>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</si>
  <si>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</si>
  <si>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</si>
  <si>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</si>
  <si>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</si>
  <si>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</si>
  <si>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</si>
  <si>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</si>
  <si>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</si>
  <si>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</si>
  <si>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</si>
  <si>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</si>
  <si>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</si>
  <si>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</si>
  <si>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</si>
  <si>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</si>
  <si>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</si>
  <si>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</si>
  <si>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</si>
  <si>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</si>
  <si>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</si>
  <si>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</si>
  <si>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</si>
  <si>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</si>
  <si>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</si>
  <si>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</si>
  <si>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</si>
  <si>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</si>
  <si>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</si>
  <si>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</si>
  <si>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</si>
  <si>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</si>
  <si>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</si>
  <si>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</si>
  <si>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</si>
  <si>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</si>
  <si>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</si>
  <si>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</si>
  <si>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</si>
  <si>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</si>
  <si>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</si>
  <si>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</si>
  <si>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</si>
  <si>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</si>
  <si>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</si>
  <si>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</si>
  <si>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</si>
  <si>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</si>
  <si>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</si>
  <si>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</si>
  <si>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</si>
  <si>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</si>
  <si>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</si>
  <si>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</si>
  <si>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</si>
  <si>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</si>
  <si>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</si>
  <si>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</si>
  <si>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</si>
  <si>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</si>
  <si>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</si>
  <si>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</si>
  <si>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</si>
  <si>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</si>
  <si>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</si>
  <si>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</si>
  <si>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</si>
  <si>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</si>
  <si>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</si>
  <si>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</si>
  <si>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</si>
  <si>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</si>
  <si>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</si>
  <si>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</si>
  <si>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</si>
  <si>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</si>
  <si>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</si>
  <si>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</si>
  <si>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</si>
  <si>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</si>
  <si>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</si>
  <si>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</si>
  <si>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</si>
  <si>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</si>
  <si>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</si>
  <si>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</si>
  <si>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</si>
  <si>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</si>
  <si>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</si>
  <si>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</si>
  <si>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</si>
  <si>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</si>
  <si>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</si>
  <si>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</si>
  <si>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</si>
  <si>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</si>
  <si>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</si>
  <si>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01 0 А1 S8500</t>
  </si>
  <si>
    <t>03 0 А1 S8500</t>
  </si>
  <si>
    <t>03 1 02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</si>
  <si>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</si>
  <si>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</si>
  <si>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</si>
  <si>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</si>
  <si>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</si>
  <si>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</si>
  <si>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</si>
  <si>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</si>
  <si>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</si>
  <si>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</si>
  <si>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</si>
  <si>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</si>
  <si>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</si>
  <si>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</si>
  <si>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</si>
  <si>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</si>
  <si>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</si>
  <si>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</si>
  <si>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</si>
  <si>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</si>
  <si>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</si>
  <si>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</si>
  <si>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</si>
  <si>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</si>
  <si>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</si>
  <si>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</si>
  <si>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</si>
  <si>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</si>
  <si>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</si>
  <si>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</si>
  <si>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</si>
  <si>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</si>
  <si>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</si>
  <si>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</si>
  <si>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</si>
  <si>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</si>
  <si>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</si>
  <si>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</si>
  <si>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</si>
  <si>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</si>
  <si>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</si>
  <si>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</si>
  <si>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</si>
  <si>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99 0 00 80101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</si>
  <si>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</si>
  <si>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</si>
  <si>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</si>
  <si>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</si>
  <si>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</si>
  <si>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</si>
  <si>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</si>
  <si>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</si>
  <si>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</si>
  <si>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</si>
  <si>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2023 год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</si>
  <si>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</si>
  <si>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</si>
  <si>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</si>
  <si>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</si>
  <si>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</si>
  <si>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</si>
  <si>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</si>
  <si>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</si>
  <si>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</si>
  <si>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</si>
  <si>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</si>
  <si>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</si>
  <si>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</si>
  <si>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</si>
  <si>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</si>
  <si>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</si>
  <si>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</si>
  <si>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</si>
  <si>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</si>
  <si>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</si>
  <si>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</si>
  <si>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</si>
  <si>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</si>
  <si>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</si>
  <si>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</si>
  <si>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</si>
  <si>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</si>
  <si>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</si>
  <si>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</si>
  <si>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</si>
  <si>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 xml:space="preserve">Сумма на 2024 год </t>
  </si>
  <si>
    <t>Распределение межбюджетных трансфертов бюджетам сельских поселений на 2024 год</t>
  </si>
  <si>
    <t>02 1 02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</si>
  <si>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</si>
  <si>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</si>
  <si>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</si>
  <si>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</si>
  <si>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</si>
  <si>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</si>
  <si>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</si>
  <si>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</si>
  <si>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</si>
  <si>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</si>
  <si>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</si>
  <si>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</si>
  <si>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 xml:space="preserve"> Сумма на 2024 год с изменениями </t>
  </si>
  <si>
    <t>Сумма на 2025 год</t>
  </si>
  <si>
    <t>Изменения на 2024 год (+;-)</t>
  </si>
  <si>
    <t>2025 год</t>
  </si>
  <si>
    <t xml:space="preserve">Сумма на 2025 год </t>
  </si>
  <si>
    <t>Распределение межбюджетных трансфертов бюджетам сельских поселений на 2025 год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</si>
  <si>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</si>
  <si>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</si>
  <si>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</si>
  <si>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</si>
  <si>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</si>
  <si>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</si>
  <si>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</si>
  <si>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</si>
  <si>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</si>
  <si>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</si>
  <si>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</si>
  <si>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</si>
  <si>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</si>
  <si>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</si>
  <si>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</si>
  <si>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</si>
  <si>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</si>
  <si>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</si>
  <si>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</si>
  <si>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</si>
  <si>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</si>
  <si>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</si>
  <si>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</si>
  <si>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</si>
  <si>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 год</t>
  </si>
  <si>
    <t>к Решению "О бюджете муниципального образования "Улаганский район" на 2024 год и плановый период 2025 и 2026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</si>
  <si>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2025-2026 годы</t>
  </si>
  <si>
    <t xml:space="preserve"> Сумма на 2025 год с изменениями </t>
  </si>
  <si>
    <t xml:space="preserve"> Сумма на 2026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</si>
  <si>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</si>
  <si>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2025 - 2026 годы</t>
  </si>
  <si>
    <t>Сумма на 2026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</si>
  <si>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</si>
  <si>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2025-2026 годы</t>
  </si>
  <si>
    <t>Изменения на 2025 год (+;-)</t>
  </si>
  <si>
    <t xml:space="preserve">  расходов бюджета муниципального образования "Улаганский район" на  2024 год</t>
  </si>
  <si>
    <t xml:space="preserve">  расходов бюджета муниципального образования "Улаганский район" на  2025-2026 годы</t>
  </si>
  <si>
    <t>2026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</si>
  <si>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</si>
  <si>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2025 - 2026 годы</t>
  </si>
  <si>
    <t xml:space="preserve">Сумма на 2026 год </t>
  </si>
  <si>
    <t>Распределение межбюджетных трансфертов бюджетам сельских поселений на 2026 год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</si>
  <si>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</si>
  <si>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02 1 A2 55195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</si>
  <si>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</si>
  <si>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малообеспеченных семей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</si>
  <si>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(реализация мероприятий по развитию и укреплению материально-технической базы)</t>
  </si>
  <si>
    <t>02 1 01 L4671</t>
  </si>
  <si>
    <t>02 4 02 L4971</t>
  </si>
  <si>
    <t xml:space="preserve">Субсидии на предоставление ежемесячной надбавки к заработной плате молодым специалистам в муниципальных образовательных организациях </t>
  </si>
  <si>
    <t>02 3 01 S0080</t>
  </si>
  <si>
    <t>02 3 12 S0080</t>
  </si>
  <si>
    <t>02 3 22 S0080</t>
  </si>
  <si>
    <t>02 3 01 S0090</t>
  </si>
  <si>
    <t>02 3 01 S00М0</t>
  </si>
  <si>
    <t>02 1 13 S0200</t>
  </si>
  <si>
    <t>02 1 23 S0200</t>
  </si>
  <si>
    <t>02 1 01 S0200</t>
  </si>
  <si>
    <t>02 1 02 S0200</t>
  </si>
  <si>
    <t>02 0 А1 S0200</t>
  </si>
  <si>
    <t>02 3 04 S0200</t>
  </si>
  <si>
    <t>02 3 01 S0200</t>
  </si>
  <si>
    <t>02 3 12 S0200</t>
  </si>
  <si>
    <t>02 3 22 S0200</t>
  </si>
  <si>
    <t>02 3 00 S0200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</si>
  <si>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 развития территорий</t>
  </si>
  <si>
    <t>Субсидии на капитальный ремонт и ремонт искусственных сооружений на автомобильных дорогах общего пользования</t>
  </si>
  <si>
    <t>04 1 02 S02Д4</t>
  </si>
  <si>
    <t>04 2 01 S0450</t>
  </si>
  <si>
    <t>02 3 01 42010</t>
  </si>
  <si>
    <t>02 3 04 42030</t>
  </si>
  <si>
    <t>02 3 01 42030</t>
  </si>
  <si>
    <t>02 3 Ц1 42030</t>
  </si>
  <si>
    <t>02 3 00 42040</t>
  </si>
  <si>
    <t>01 1 03 42060</t>
  </si>
  <si>
    <t>Субвенции на реализацию мероприятий по осуществлению деятельности по обращению с животными без владельцев на территории Республики Алтай</t>
  </si>
  <si>
    <t>Субвенции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ям, крематоров, инсинераторов)</t>
  </si>
  <si>
    <t>01 1 03 42050</t>
  </si>
  <si>
    <t>03 1 02 42070</t>
  </si>
  <si>
    <t>99 0 00 42080</t>
  </si>
  <si>
    <t>Субвенции на постановку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</si>
  <si>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</si>
  <si>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03 1 01 42100</t>
  </si>
  <si>
    <t>Пособия, компенсации и иные социальные выплаты гражданам, кроме публичных нормативных обязательств</t>
  </si>
  <si>
    <t>02 3 01 42090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</si>
  <si>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</si>
  <si>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02 1 02 42110</t>
  </si>
  <si>
    <t>04  2 01 42120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</si>
  <si>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</si>
  <si>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04 2 02 42130</t>
  </si>
  <si>
    <t>99 0 00 42140</t>
  </si>
  <si>
    <t>99 0 00 42150</t>
  </si>
  <si>
    <t>01 1 01 42160</t>
  </si>
  <si>
    <t>99 0 00 51201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</si>
  <si>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</si>
  <si>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02 4 00 51761</t>
  </si>
  <si>
    <t>02 0 01 S0200</t>
  </si>
  <si>
    <t>03 0 03 S0200</t>
  </si>
  <si>
    <t>04 3 07 S0200</t>
  </si>
  <si>
    <t>99 0 00 S0200</t>
  </si>
  <si>
    <t>99 0 А0 S0200</t>
  </si>
  <si>
    <t>03 1 02 S0200</t>
  </si>
  <si>
    <t>03 0 А1 S0200</t>
  </si>
  <si>
    <t>01 0 А1 S0200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</si>
  <si>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</si>
  <si>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51791</t>
  </si>
  <si>
    <t>Реализация мероприятий по обеспечению жильем молодых семей (предоставление выплаты на приобретение (строительство) жилого помещения)</t>
  </si>
  <si>
    <t>02 3 01 00002</t>
  </si>
  <si>
    <t>02 3 01 L3042</t>
  </si>
  <si>
    <t>02 3 04 S0080</t>
  </si>
  <si>
    <t>Обеспечение питанием учащихся (родительская плата)</t>
  </si>
  <si>
    <t>02 3 04 00002</t>
  </si>
  <si>
    <t>Защита населения и территории от чрезвычайных ситуаций природного и техногенного характера, пожарная безопасность</t>
  </si>
  <si>
    <t>312</t>
  </si>
  <si>
    <t>Иные пенсии, социальные доплаты к пенсиям</t>
  </si>
  <si>
    <t>622</t>
  </si>
  <si>
    <t>Субсидии автономным учреждениям на иные цели</t>
  </si>
  <si>
    <t>02 3 01 00004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</si>
</sst>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77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center"/>
    </xf>
    <xf numFmtId="49" fontId="39" fillId="0" borderId="15" xfId="75" applyNumberFormat="1" applyFont="1" applyFill="1" applyBorder="1" applyAlignment="1">
      <alignment horizontal="left" vertical="center" wrapText="1"/>
    </xf>
    <xf numFmtId="0" fontId="6" fillId="0" borderId="10" xfId="73" applyFont="1" applyBorder="1" applyAlignment="1">
      <alignment horizontal="center" vertical="center" wrapText="1"/>
    </xf>
    <xf numFmtId="0" fontId="6" fillId="0" borderId="10" xfId="73" applyNumberFormat="1" applyFont="1" applyFill="1" applyBorder="1" applyAlignment="1" applyProtection="1">
      <alignment vertical="top" wrapText="1"/>
    </xf>
    <xf numFmtId="173" fontId="4" fillId="0" borderId="10" xfId="73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27" borderId="14" xfId="0" applyFont="1" applyFill="1" applyBorder="1" applyAlignment="1">
      <alignment vertical="center" wrapText="1"/>
    </xf>
    <xf numFmtId="0" fontId="7" fillId="27" borderId="21" xfId="0" applyFont="1" applyFill="1" applyBorder="1" applyAlignment="1">
      <alignment vertical="center" wrapText="1"/>
    </xf>
    <xf numFmtId="0" fontId="7" fillId="27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2" customWidth="1"/>
    <col min="2" max="2" width="27.140625" style="122" customWidth="1"/>
    <col min="3" max="3" width="35.85546875" style="122" customWidth="1"/>
    <col min="4" max="4" width="11.85546875" style="122" customWidth="1"/>
    <col min="5" max="5" width="15.5703125" style="122" customWidth="1"/>
    <col min="6" max="6" width="16.42578125" style="122" customWidth="1"/>
    <col min="7" max="7" width="13" style="122" customWidth="1"/>
    <col min="8" max="8" width="14.5703125" style="123" customWidth="1"/>
    <col min="9" max="10" width="15.42578125" style="123" customWidth="1"/>
    <col min="11" max="11" width="14.85546875" style="123" customWidth="1"/>
    <col min="12" max="12" width="9.140625" style="122"/>
    <col min="13" max="13" width="16.5703125" style="122" customWidth="1"/>
    <col min="14" max="16384" width="9.140625" style="122"/>
  </cols>
  <sheetData>
    <row r="1" spans="1:13" x14ac:dyDescent="0.25">
      <c r="K1" s="241" t="s">
        <v>716</v>
      </c>
    </row>
    <row r="2" spans="1:13" ht="69.75" customHeight="1" x14ac:dyDescent="0.3">
      <c r="A2" s="465"/>
      <c r="B2" s="465"/>
      <c r="C2" s="465"/>
      <c r="H2" s="122"/>
      <c r="I2" s="43"/>
      <c r="J2" s="471" t="s">
        <v>446</v>
      </c>
      <c r="K2" s="471"/>
    </row>
    <row r="3" spans="1:13" s="124" customFormat="1" ht="45" customHeight="1" x14ac:dyDescent="0.3">
      <c r="B3" s="474" t="s">
        <v>684</v>
      </c>
      <c r="C3" s="474"/>
      <c r="D3" s="474"/>
      <c r="E3" s="474"/>
      <c r="F3" s="474"/>
      <c r="G3" s="474"/>
      <c r="H3" s="474"/>
      <c r="I3" s="474"/>
      <c r="J3" s="225"/>
      <c r="K3" s="225"/>
    </row>
    <row r="4" spans="1:13" s="124" customFormat="1" ht="30" customHeight="1" x14ac:dyDescent="0.3">
      <c r="A4" s="135"/>
      <c r="B4" s="135"/>
      <c r="C4" s="135"/>
      <c r="D4" s="136"/>
      <c r="E4" s="136"/>
      <c r="F4" s="136"/>
      <c r="G4" s="136"/>
      <c r="H4" s="137"/>
      <c r="I4" s="482" t="s">
        <v>549</v>
      </c>
      <c r="J4" s="482"/>
      <c r="K4" s="482"/>
    </row>
    <row r="5" spans="1:13" s="124" customFormat="1" ht="45" customHeight="1" x14ac:dyDescent="0.3">
      <c r="A5" s="466" t="s">
        <v>674</v>
      </c>
      <c r="B5" s="466" t="s">
        <v>675</v>
      </c>
      <c r="C5" s="475" t="s">
        <v>676</v>
      </c>
      <c r="D5" s="476" t="s">
        <v>681</v>
      </c>
      <c r="E5" s="477"/>
      <c r="F5" s="477"/>
      <c r="G5" s="478"/>
      <c r="H5" s="479" t="s">
        <v>682</v>
      </c>
      <c r="I5" s="480"/>
      <c r="J5" s="480"/>
      <c r="K5" s="481"/>
    </row>
    <row r="6" spans="1:13" s="124" customFormat="1" ht="23.25" customHeight="1" x14ac:dyDescent="0.3">
      <c r="A6" s="467"/>
      <c r="B6" s="469"/>
      <c r="C6" s="475"/>
      <c r="D6" s="483" t="s">
        <v>555</v>
      </c>
      <c r="E6" s="476" t="s">
        <v>677</v>
      </c>
      <c r="F6" s="477"/>
      <c r="G6" s="478"/>
      <c r="H6" s="485" t="s">
        <v>555</v>
      </c>
      <c r="I6" s="479" t="s">
        <v>677</v>
      </c>
      <c r="J6" s="480"/>
      <c r="K6" s="481"/>
    </row>
    <row r="7" spans="1:13" s="124" customFormat="1" ht="45" customHeight="1" x14ac:dyDescent="0.3">
      <c r="A7" s="468"/>
      <c r="B7" s="470"/>
      <c r="C7" s="475"/>
      <c r="D7" s="484"/>
      <c r="E7" s="138" t="s">
        <v>678</v>
      </c>
      <c r="F7" s="138" t="s">
        <v>679</v>
      </c>
      <c r="G7" s="139" t="s">
        <v>680</v>
      </c>
      <c r="H7" s="486"/>
      <c r="I7" s="139" t="s">
        <v>678</v>
      </c>
      <c r="J7" s="139" t="s">
        <v>679</v>
      </c>
      <c r="K7" s="139" t="s">
        <v>680</v>
      </c>
    </row>
    <row r="8" spans="1:13" s="125" customFormat="1" ht="96" customHeight="1" x14ac:dyDescent="0.3">
      <c r="A8" s="472" t="s">
        <v>699</v>
      </c>
      <c r="B8" s="213" t="s">
        <v>700</v>
      </c>
      <c r="C8" s="215" t="s">
        <v>701</v>
      </c>
      <c r="D8" s="217">
        <f>E8+F8+G8</f>
        <v>80.02</v>
      </c>
      <c r="E8" s="218"/>
      <c r="F8" s="219"/>
      <c r="G8" s="220">
        <v>80.02</v>
      </c>
      <c r="H8" s="221">
        <f>I8+J8+K8</f>
        <v>377.02</v>
      </c>
      <c r="I8" s="221"/>
      <c r="J8" s="221"/>
      <c r="K8" s="221">
        <v>377.02</v>
      </c>
    </row>
    <row r="9" spans="1:13" s="125" customFormat="1" ht="155.25" customHeight="1" x14ac:dyDescent="0.3">
      <c r="A9" s="473"/>
      <c r="B9" s="214" t="s">
        <v>270</v>
      </c>
      <c r="C9" s="216" t="s">
        <v>702</v>
      </c>
      <c r="D9" s="217">
        <f>E9+F9+G9</f>
        <v>609.20000000000005</v>
      </c>
      <c r="E9" s="218">
        <v>609.20000000000005</v>
      </c>
      <c r="F9" s="219"/>
      <c r="G9" s="219"/>
      <c r="H9" s="221">
        <f>I9+J9+K9</f>
        <v>1218.4000000000001</v>
      </c>
      <c r="I9" s="221">
        <v>1218.4000000000001</v>
      </c>
      <c r="J9" s="221"/>
      <c r="K9" s="221"/>
    </row>
    <row r="10" spans="1:13" s="124" customFormat="1" ht="45" customHeight="1" x14ac:dyDescent="0.3">
      <c r="A10" s="140" t="s">
        <v>555</v>
      </c>
      <c r="B10" s="141"/>
      <c r="C10" s="142"/>
      <c r="D10" s="222">
        <f t="shared" ref="D10:K10" si="0">D8+D9</f>
        <v>689.22</v>
      </c>
      <c r="E10" s="222">
        <f t="shared" si="0"/>
        <v>609.20000000000005</v>
      </c>
      <c r="F10" s="222">
        <f t="shared" si="0"/>
        <v>0</v>
      </c>
      <c r="G10" s="222">
        <f t="shared" si="0"/>
        <v>80.02</v>
      </c>
      <c r="H10" s="223">
        <f t="shared" si="0"/>
        <v>1595.42</v>
      </c>
      <c r="I10" s="223">
        <f t="shared" si="0"/>
        <v>1218.4000000000001</v>
      </c>
      <c r="J10" s="224">
        <f t="shared" si="0"/>
        <v>0</v>
      </c>
      <c r="K10" s="223">
        <f t="shared" si="0"/>
        <v>377.02</v>
      </c>
    </row>
    <row r="11" spans="1:13" ht="45" customHeight="1" x14ac:dyDescent="0.25">
      <c r="A11" s="136"/>
      <c r="B11" s="136"/>
      <c r="C11" s="136"/>
      <c r="D11" s="136"/>
      <c r="E11" s="136"/>
      <c r="F11" s="136"/>
      <c r="G11" s="136"/>
      <c r="H11" s="137"/>
      <c r="I11" s="137"/>
      <c r="J11" s="137"/>
      <c r="K11" s="137"/>
    </row>
    <row r="12" spans="1:13" ht="45" customHeight="1" x14ac:dyDescent="0.3">
      <c r="A12" s="136"/>
      <c r="B12" s="136"/>
      <c r="C12" s="136"/>
      <c r="D12" s="136"/>
      <c r="E12" s="136"/>
      <c r="F12" s="143"/>
      <c r="G12" s="143"/>
      <c r="H12" s="144"/>
      <c r="I12" s="144"/>
      <c r="J12" s="144"/>
      <c r="K12" s="144"/>
      <c r="L12" s="128"/>
      <c r="M12" s="128"/>
    </row>
    <row r="13" spans="1:13" ht="45" customHeight="1" x14ac:dyDescent="0.3">
      <c r="A13" s="136"/>
      <c r="B13" s="136"/>
      <c r="C13" s="136"/>
      <c r="D13" s="136"/>
      <c r="E13" s="136"/>
      <c r="F13" s="143"/>
      <c r="G13" s="143"/>
      <c r="H13" s="144"/>
      <c r="I13" s="144"/>
      <c r="J13" s="144"/>
      <c r="K13" s="144"/>
      <c r="L13" s="128"/>
      <c r="M13" s="128"/>
    </row>
    <row r="14" spans="1:13" ht="45" customHeight="1" x14ac:dyDescent="0.3">
      <c r="F14" s="126"/>
      <c r="G14" s="126"/>
      <c r="H14" s="129"/>
      <c r="I14" s="127"/>
      <c r="J14" s="127"/>
      <c r="K14" s="130"/>
      <c r="L14" s="128"/>
      <c r="M14" s="131"/>
    </row>
    <row r="15" spans="1:13" ht="45" customHeight="1" x14ac:dyDescent="0.3">
      <c r="D15" s="132"/>
      <c r="E15" s="132"/>
      <c r="F15" s="133"/>
      <c r="G15" s="133"/>
      <c r="H15" s="127"/>
      <c r="I15" s="127"/>
      <c r="J15" s="127"/>
      <c r="K15" s="127"/>
      <c r="L15" s="128"/>
      <c r="M15" s="128"/>
    </row>
    <row r="16" spans="1:13" ht="45" customHeight="1" x14ac:dyDescent="0.3">
      <c r="F16" s="126"/>
      <c r="G16" s="126"/>
      <c r="H16" s="127"/>
      <c r="I16" s="127"/>
      <c r="J16" s="127"/>
      <c r="K16" s="127"/>
      <c r="L16" s="128"/>
      <c r="M16" s="128"/>
    </row>
    <row r="17" spans="6:13" ht="45" customHeight="1" x14ac:dyDescent="0.25">
      <c r="F17" s="126"/>
      <c r="G17" s="126"/>
      <c r="H17" s="134"/>
      <c r="I17" s="134"/>
      <c r="J17" s="134"/>
      <c r="K17" s="134"/>
      <c r="L17" s="126"/>
      <c r="M17" s="126"/>
    </row>
    <row r="18" spans="6:13" ht="45" customHeight="1" x14ac:dyDescent="0.25">
      <c r="F18" s="126"/>
      <c r="G18" s="126"/>
      <c r="H18" s="134"/>
      <c r="I18" s="134"/>
      <c r="J18" s="134"/>
      <c r="K18" s="134"/>
      <c r="L18" s="126"/>
      <c r="M18" s="126"/>
    </row>
    <row r="19" spans="6:13" ht="45" customHeight="1" x14ac:dyDescent="0.25">
      <c r="F19" s="126"/>
      <c r="G19" s="126"/>
      <c r="H19" s="134"/>
      <c r="I19" s="134"/>
      <c r="J19" s="134"/>
      <c r="K19" s="134"/>
      <c r="L19" s="126"/>
      <c r="M19" s="126"/>
    </row>
    <row r="20" spans="6:13" ht="45" customHeight="1" x14ac:dyDescent="0.25">
      <c r="F20" s="126"/>
      <c r="G20" s="126"/>
      <c r="H20" s="134"/>
      <c r="I20" s="134"/>
      <c r="J20" s="134"/>
      <c r="K20" s="134"/>
      <c r="L20" s="126"/>
      <c r="M20" s="126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4" customWidth="1"/>
    <col min="2" max="2" width="7" style="276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6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9" t="s">
        <v>1034</v>
      </c>
      <c r="F1" s="529"/>
      <c r="G1" s="529"/>
      <c r="H1" s="529"/>
      <c r="I1" s="529"/>
      <c r="J1" s="529"/>
      <c r="K1" s="529"/>
      <c r="L1" s="529"/>
      <c r="M1" s="529"/>
      <c r="N1" s="529"/>
    </row>
    <row r="2" spans="1:14" ht="45.75" customHeight="1" x14ac:dyDescent="0.2">
      <c r="E2" s="386"/>
      <c r="F2" s="537" t="s">
        <v>1012</v>
      </c>
      <c r="G2" s="537"/>
      <c r="H2" s="537"/>
      <c r="I2" s="537"/>
      <c r="J2" s="537"/>
      <c r="K2" s="537"/>
      <c r="L2" s="537"/>
      <c r="M2" s="537"/>
      <c r="N2" s="537"/>
    </row>
    <row r="4" spans="1:14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</row>
    <row r="5" spans="1:14" ht="18.75" customHeight="1" x14ac:dyDescent="0.2">
      <c r="A5" s="530" t="s">
        <v>1030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 ht="15.75" x14ac:dyDescent="0.2">
      <c r="A6" s="538"/>
      <c r="B6" s="538"/>
      <c r="C6" s="538"/>
      <c r="D6" s="538"/>
      <c r="E6" s="538"/>
      <c r="F6" s="538"/>
      <c r="N6" s="12" t="s">
        <v>549</v>
      </c>
    </row>
    <row r="7" spans="1:14" s="7" customFormat="1" ht="60" x14ac:dyDescent="0.2">
      <c r="A7" s="248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/>
      <c r="H7" s="252" t="s">
        <v>445</v>
      </c>
      <c r="I7" s="253" t="s">
        <v>188</v>
      </c>
      <c r="J7" s="253" t="s">
        <v>412</v>
      </c>
      <c r="K7" s="253" t="s">
        <v>188</v>
      </c>
      <c r="L7" s="253" t="s">
        <v>967</v>
      </c>
      <c r="M7" s="253" t="s">
        <v>1010</v>
      </c>
      <c r="N7" s="253" t="s">
        <v>967</v>
      </c>
    </row>
    <row r="8" spans="1:14" s="7" customFormat="1" ht="15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251"/>
      <c r="K8" s="251"/>
      <c r="L8" s="251"/>
      <c r="M8" s="251"/>
      <c r="N8" s="251"/>
    </row>
    <row r="9" spans="1:14" s="7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1"/>
      <c r="H9" s="251">
        <v>7</v>
      </c>
      <c r="I9" s="253">
        <v>7</v>
      </c>
      <c r="J9" s="253">
        <v>8</v>
      </c>
      <c r="K9" s="253">
        <v>7</v>
      </c>
      <c r="L9" s="253">
        <v>7</v>
      </c>
      <c r="M9" s="253">
        <v>7</v>
      </c>
      <c r="N9" s="253">
        <v>8</v>
      </c>
    </row>
    <row r="10" spans="1:14" s="17" customFormat="1" ht="24.75" customHeight="1" x14ac:dyDescent="0.2">
      <c r="A10" s="531" t="s">
        <v>71</v>
      </c>
      <c r="B10" s="531"/>
      <c r="C10" s="531"/>
      <c r="D10" s="531"/>
      <c r="E10" s="531"/>
      <c r="F10" s="531"/>
      <c r="G10" s="245">
        <f t="shared" ref="G10:N10" si="0">G15+G30+G198+G203</f>
        <v>0</v>
      </c>
      <c r="H10" s="245">
        <f t="shared" si="0"/>
        <v>39330.800000000003</v>
      </c>
      <c r="I10" s="245">
        <f t="shared" si="0"/>
        <v>0</v>
      </c>
      <c r="J10" s="245">
        <f t="shared" si="0"/>
        <v>39330.800000000003</v>
      </c>
      <c r="K10" s="245" t="e">
        <f t="shared" si="0"/>
        <v>#REF!</v>
      </c>
      <c r="L10" s="245">
        <f t="shared" si="0"/>
        <v>40545.199999999997</v>
      </c>
      <c r="M10" s="245">
        <f t="shared" si="0"/>
        <v>10917.8</v>
      </c>
      <c r="N10" s="245">
        <f t="shared" si="0"/>
        <v>51463</v>
      </c>
    </row>
    <row r="11" spans="1:14" ht="12.75" hidden="1" customHeight="1" x14ac:dyDescent="0.2">
      <c r="A11" s="398" t="s">
        <v>72</v>
      </c>
      <c r="B11" s="250" t="s">
        <v>73</v>
      </c>
      <c r="C11" s="250" t="s">
        <v>190</v>
      </c>
      <c r="D11" s="250"/>
      <c r="E11" s="250"/>
      <c r="F11" s="250"/>
      <c r="G11" s="257"/>
      <c r="H11" s="257"/>
      <c r="I11" s="257"/>
      <c r="J11" s="257" t="e">
        <f>J12</f>
        <v>#REF!</v>
      </c>
      <c r="K11" s="257"/>
      <c r="L11" s="257" t="e">
        <f t="shared" ref="L11:N13" si="1">L12</f>
        <v>#REF!</v>
      </c>
      <c r="M11" s="257" t="e">
        <f t="shared" si="1"/>
        <v>#REF!</v>
      </c>
      <c r="N11" s="257" t="e">
        <f t="shared" si="1"/>
        <v>#REF!</v>
      </c>
    </row>
    <row r="12" spans="1:14" ht="12.75" hidden="1" customHeight="1" x14ac:dyDescent="0.2">
      <c r="A12" s="398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/>
      <c r="H12" s="257"/>
      <c r="I12" s="257"/>
      <c r="J12" s="257" t="e">
        <f>J13</f>
        <v>#REF!</v>
      </c>
      <c r="K12" s="257"/>
      <c r="L12" s="257" t="e">
        <f t="shared" si="1"/>
        <v>#REF!</v>
      </c>
      <c r="M12" s="257" t="e">
        <f t="shared" si="1"/>
        <v>#REF!</v>
      </c>
      <c r="N12" s="257" t="e">
        <f t="shared" si="1"/>
        <v>#REF!</v>
      </c>
    </row>
    <row r="13" spans="1:14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/>
      <c r="H13" s="257"/>
      <c r="I13" s="257"/>
      <c r="J13" s="257" t="e">
        <f>J14</f>
        <v>#REF!</v>
      </c>
      <c r="K13" s="257"/>
      <c r="L13" s="257" t="e">
        <f t="shared" si="1"/>
        <v>#REF!</v>
      </c>
      <c r="M13" s="257" t="e">
        <f t="shared" si="1"/>
        <v>#REF!</v>
      </c>
      <c r="N13" s="257" t="e">
        <f t="shared" si="1"/>
        <v>#REF!</v>
      </c>
    </row>
    <row r="14" spans="1:14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/>
      <c r="H14" s="257"/>
      <c r="I14" s="257"/>
      <c r="J14" s="257" t="e">
        <f>#REF!+G14</f>
        <v>#REF!</v>
      </c>
      <c r="K14" s="257"/>
      <c r="L14" s="257" t="e">
        <f>#REF!+H14</f>
        <v>#REF!</v>
      </c>
      <c r="M14" s="257" t="e">
        <f>#REF!+I14</f>
        <v>#REF!</v>
      </c>
      <c r="N14" s="257" t="e">
        <f>#REF!+I14</f>
        <v>#REF!</v>
      </c>
    </row>
    <row r="15" spans="1:14" s="19" customFormat="1" ht="12.75" customHeight="1" x14ac:dyDescent="0.2">
      <c r="A15" s="398" t="s">
        <v>298</v>
      </c>
      <c r="B15" s="250" t="s">
        <v>73</v>
      </c>
      <c r="C15" s="250" t="s">
        <v>202</v>
      </c>
      <c r="D15" s="250"/>
      <c r="E15" s="250"/>
      <c r="F15" s="250"/>
      <c r="G15" s="261">
        <f t="shared" ref="G15:N15" si="2">G16+G21+G25</f>
        <v>0</v>
      </c>
      <c r="H15" s="261">
        <f t="shared" si="2"/>
        <v>15799</v>
      </c>
      <c r="I15" s="261">
        <f t="shared" si="2"/>
        <v>0</v>
      </c>
      <c r="J15" s="261">
        <f t="shared" si="2"/>
        <v>15799</v>
      </c>
      <c r="K15" s="261" t="e">
        <f t="shared" si="2"/>
        <v>#REF!</v>
      </c>
      <c r="L15" s="261">
        <f>L16+L25</f>
        <v>14706</v>
      </c>
      <c r="M15" s="261">
        <f>M16+M25</f>
        <v>4001</v>
      </c>
      <c r="N15" s="261">
        <f t="shared" si="2"/>
        <v>18707</v>
      </c>
    </row>
    <row r="16" spans="1:14" ht="16.5" customHeight="1" x14ac:dyDescent="0.2">
      <c r="A16" s="398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f t="shared" ref="G16:N16" si="3">G17</f>
        <v>0</v>
      </c>
      <c r="H16" s="262"/>
      <c r="I16" s="262">
        <f t="shared" si="3"/>
        <v>15549</v>
      </c>
      <c r="J16" s="262">
        <f t="shared" si="3"/>
        <v>15549</v>
      </c>
      <c r="K16" s="262" t="e">
        <f t="shared" si="3"/>
        <v>#REF!</v>
      </c>
      <c r="L16" s="262">
        <f t="shared" si="3"/>
        <v>14506</v>
      </c>
      <c r="M16" s="262">
        <f t="shared" si="3"/>
        <v>4181</v>
      </c>
      <c r="N16" s="262">
        <f t="shared" si="3"/>
        <v>18687</v>
      </c>
    </row>
    <row r="17" spans="1:14" ht="67.5" customHeight="1" x14ac:dyDescent="0.2">
      <c r="A17" s="259" t="s">
        <v>1033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/>
      <c r="H17" s="257">
        <f>H18+H19</f>
        <v>0</v>
      </c>
      <c r="I17" s="257">
        <f>I18+I19</f>
        <v>15549</v>
      </c>
      <c r="J17" s="257">
        <f>J18+J19</f>
        <v>15549</v>
      </c>
      <c r="K17" s="257" t="e">
        <f>K18+K19+K20+#REF!</f>
        <v>#REF!</v>
      </c>
      <c r="L17" s="257">
        <f>L18+L19+L20</f>
        <v>14506</v>
      </c>
      <c r="M17" s="257">
        <f>M18+M19+M20</f>
        <v>4181</v>
      </c>
      <c r="N17" s="257">
        <f>N18+N19+N20</f>
        <v>18687</v>
      </c>
    </row>
    <row r="18" spans="1:14" ht="34.5" customHeight="1" x14ac:dyDescent="0.2">
      <c r="A18" s="259" t="s">
        <v>76</v>
      </c>
      <c r="B18" s="252" t="s">
        <v>73</v>
      </c>
      <c r="C18" s="252" t="s">
        <v>202</v>
      </c>
      <c r="D18" s="252" t="s">
        <v>194</v>
      </c>
      <c r="E18" s="252" t="s">
        <v>744</v>
      </c>
      <c r="F18" s="252" t="s">
        <v>77</v>
      </c>
      <c r="G18" s="257"/>
      <c r="H18" s="257"/>
      <c r="I18" s="257">
        <v>9532</v>
      </c>
      <c r="J18" s="257">
        <f>H18+I18</f>
        <v>9532</v>
      </c>
      <c r="K18" s="257">
        <v>0</v>
      </c>
      <c r="L18" s="257">
        <f>9836-1000</f>
        <v>8836</v>
      </c>
      <c r="M18" s="257">
        <f>1310+1624</f>
        <v>2934</v>
      </c>
      <c r="N18" s="257">
        <f>L18+M18</f>
        <v>11770</v>
      </c>
    </row>
    <row r="19" spans="1:14" ht="31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745</v>
      </c>
      <c r="F19" s="252" t="s">
        <v>77</v>
      </c>
      <c r="G19" s="257"/>
      <c r="H19" s="257"/>
      <c r="I19" s="257">
        <v>6017</v>
      </c>
      <c r="J19" s="257">
        <f>H19+I19</f>
        <v>6017</v>
      </c>
      <c r="K19" s="257">
        <v>0</v>
      </c>
      <c r="L19" s="257">
        <f>6170-500</f>
        <v>5670</v>
      </c>
      <c r="M19" s="257">
        <f>681+566</f>
        <v>1247</v>
      </c>
      <c r="N19" s="257">
        <f>L19+M19</f>
        <v>6917</v>
      </c>
    </row>
    <row r="20" spans="1:14" ht="15.75" hidden="1" customHeight="1" x14ac:dyDescent="0.2">
      <c r="A20" s="355" t="s">
        <v>78</v>
      </c>
      <c r="B20" s="356" t="s">
        <v>73</v>
      </c>
      <c r="C20" s="356" t="s">
        <v>202</v>
      </c>
      <c r="D20" s="356" t="s">
        <v>194</v>
      </c>
      <c r="E20" s="356" t="s">
        <v>1037</v>
      </c>
      <c r="F20" s="356" t="s">
        <v>79</v>
      </c>
      <c r="G20" s="256"/>
      <c r="H20" s="279"/>
      <c r="I20" s="278"/>
      <c r="J20" s="278"/>
      <c r="K20" s="278">
        <v>1050</v>
      </c>
      <c r="L20" s="257">
        <v>0</v>
      </c>
      <c r="M20" s="257">
        <v>0</v>
      </c>
      <c r="N20" s="257">
        <f>L20+M20</f>
        <v>0</v>
      </c>
    </row>
    <row r="21" spans="1:14" s="19" customFormat="1" ht="18" hidden="1" customHeight="1" x14ac:dyDescent="0.2">
      <c r="A21" s="398" t="s">
        <v>850</v>
      </c>
      <c r="B21" s="250" t="s">
        <v>73</v>
      </c>
      <c r="C21" s="250" t="s">
        <v>202</v>
      </c>
      <c r="D21" s="250" t="s">
        <v>194</v>
      </c>
      <c r="E21" s="250"/>
      <c r="F21" s="250"/>
      <c r="G21" s="264"/>
      <c r="H21" s="275">
        <f>H22</f>
        <v>15549</v>
      </c>
      <c r="I21" s="277">
        <f>I22</f>
        <v>-15549</v>
      </c>
      <c r="J21" s="277">
        <f>J22</f>
        <v>0</v>
      </c>
      <c r="K21" s="277">
        <f>K22</f>
        <v>0</v>
      </c>
      <c r="L21" s="257">
        <f t="shared" ref="L21:L24" si="4">I21+J21</f>
        <v>-15549</v>
      </c>
      <c r="M21" s="257"/>
      <c r="N21" s="257">
        <f>J21+K21</f>
        <v>0</v>
      </c>
    </row>
    <row r="22" spans="1:14" ht="64.5" hidden="1" customHeight="1" x14ac:dyDescent="0.2">
      <c r="A22" s="259" t="s">
        <v>974</v>
      </c>
      <c r="B22" s="252" t="s">
        <v>73</v>
      </c>
      <c r="C22" s="252" t="s">
        <v>202</v>
      </c>
      <c r="D22" s="252" t="s">
        <v>194</v>
      </c>
      <c r="E22" s="252" t="s">
        <v>748</v>
      </c>
      <c r="F22" s="252"/>
      <c r="G22" s="258">
        <f>G23+G24</f>
        <v>0</v>
      </c>
      <c r="H22" s="258">
        <f>H23+H24</f>
        <v>15549</v>
      </c>
      <c r="I22" s="258">
        <f>I23+I24</f>
        <v>-15549</v>
      </c>
      <c r="J22" s="258">
        <f>J23+J24</f>
        <v>0</v>
      </c>
      <c r="K22" s="258">
        <f>K23+K24</f>
        <v>0</v>
      </c>
      <c r="L22" s="257">
        <f t="shared" si="4"/>
        <v>-15549</v>
      </c>
      <c r="M22" s="257"/>
      <c r="N22" s="257">
        <f>J22+K22</f>
        <v>0</v>
      </c>
    </row>
    <row r="23" spans="1:14" ht="33.75" hidden="1" customHeight="1" x14ac:dyDescent="0.2">
      <c r="A23" s="259" t="s">
        <v>76</v>
      </c>
      <c r="B23" s="252" t="s">
        <v>73</v>
      </c>
      <c r="C23" s="252" t="s">
        <v>202</v>
      </c>
      <c r="D23" s="252" t="s">
        <v>194</v>
      </c>
      <c r="E23" s="252" t="s">
        <v>744</v>
      </c>
      <c r="F23" s="252" t="s">
        <v>77</v>
      </c>
      <c r="G23" s="256"/>
      <c r="H23" s="257">
        <v>9532</v>
      </c>
      <c r="I23" s="257">
        <v>-9532</v>
      </c>
      <c r="J23" s="257">
        <f t="shared" ref="J23:J30" si="5">H23+I23</f>
        <v>0</v>
      </c>
      <c r="K23" s="257">
        <v>0</v>
      </c>
      <c r="L23" s="257">
        <f t="shared" si="4"/>
        <v>-9532</v>
      </c>
      <c r="M23" s="257"/>
      <c r="N23" s="257">
        <f>J23+K23</f>
        <v>0</v>
      </c>
    </row>
    <row r="24" spans="1:14" ht="0.7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745</v>
      </c>
      <c r="F24" s="252" t="s">
        <v>77</v>
      </c>
      <c r="G24" s="256"/>
      <c r="H24" s="257">
        <v>6017</v>
      </c>
      <c r="I24" s="257">
        <v>-6017</v>
      </c>
      <c r="J24" s="257">
        <f t="shared" si="5"/>
        <v>0</v>
      </c>
      <c r="K24" s="257">
        <v>0</v>
      </c>
      <c r="L24" s="257">
        <f t="shared" si="4"/>
        <v>-6017</v>
      </c>
      <c r="M24" s="257"/>
      <c r="N24" s="257">
        <f>J24+K24</f>
        <v>0</v>
      </c>
    </row>
    <row r="25" spans="1:14" s="19" customFormat="1" ht="18" customHeight="1" x14ac:dyDescent="0.2">
      <c r="A25" s="398" t="s">
        <v>230</v>
      </c>
      <c r="B25" s="250" t="s">
        <v>73</v>
      </c>
      <c r="C25" s="250" t="s">
        <v>202</v>
      </c>
      <c r="D25" s="250" t="s">
        <v>202</v>
      </c>
      <c r="E25" s="250"/>
      <c r="F25" s="250"/>
      <c r="G25" s="277">
        <f t="shared" ref="G25:K26" si="6">G26</f>
        <v>0</v>
      </c>
      <c r="H25" s="277">
        <f>H26</f>
        <v>250</v>
      </c>
      <c r="I25" s="277">
        <f t="shared" si="6"/>
        <v>0</v>
      </c>
      <c r="J25" s="277">
        <f t="shared" si="5"/>
        <v>250</v>
      </c>
      <c r="K25" s="277">
        <f t="shared" si="6"/>
        <v>0</v>
      </c>
      <c r="L25" s="277">
        <f>L26+L28</f>
        <v>200</v>
      </c>
      <c r="M25" s="277">
        <f t="shared" ref="M25:N25" si="7">M26+M28</f>
        <v>-180</v>
      </c>
      <c r="N25" s="277">
        <f t="shared" si="7"/>
        <v>20</v>
      </c>
    </row>
    <row r="26" spans="1:14" ht="18" customHeight="1" x14ac:dyDescent="0.2">
      <c r="A26" s="259" t="s">
        <v>498</v>
      </c>
      <c r="B26" s="252" t="s">
        <v>73</v>
      </c>
      <c r="C26" s="252" t="s">
        <v>202</v>
      </c>
      <c r="D26" s="252" t="s">
        <v>202</v>
      </c>
      <c r="E26" s="252" t="s">
        <v>884</v>
      </c>
      <c r="F26" s="252"/>
      <c r="G26" s="258">
        <f t="shared" si="6"/>
        <v>0</v>
      </c>
      <c r="H26" s="258">
        <f>H27</f>
        <v>250</v>
      </c>
      <c r="I26" s="258">
        <f t="shared" si="6"/>
        <v>0</v>
      </c>
      <c r="J26" s="277">
        <f t="shared" si="5"/>
        <v>250</v>
      </c>
      <c r="K26" s="258">
        <f t="shared" si="6"/>
        <v>0</v>
      </c>
      <c r="L26" s="258">
        <f>L27</f>
        <v>200</v>
      </c>
      <c r="M26" s="258">
        <f t="shared" ref="M26:N26" si="8">M27</f>
        <v>-190</v>
      </c>
      <c r="N26" s="258">
        <f t="shared" si="8"/>
        <v>10</v>
      </c>
    </row>
    <row r="27" spans="1:14" ht="18" customHeight="1" x14ac:dyDescent="0.2">
      <c r="A27" s="259" t="s">
        <v>121</v>
      </c>
      <c r="B27" s="252" t="s">
        <v>73</v>
      </c>
      <c r="C27" s="252" t="s">
        <v>202</v>
      </c>
      <c r="D27" s="252" t="s">
        <v>202</v>
      </c>
      <c r="E27" s="252" t="s">
        <v>884</v>
      </c>
      <c r="F27" s="252" t="s">
        <v>94</v>
      </c>
      <c r="G27" s="256"/>
      <c r="H27" s="256">
        <v>250</v>
      </c>
      <c r="I27" s="257">
        <v>0</v>
      </c>
      <c r="J27" s="277">
        <f t="shared" si="5"/>
        <v>250</v>
      </c>
      <c r="K27" s="257">
        <v>0</v>
      </c>
      <c r="L27" s="258">
        <v>200</v>
      </c>
      <c r="M27" s="258">
        <v>-190</v>
      </c>
      <c r="N27" s="258">
        <f>L27+M27</f>
        <v>10</v>
      </c>
    </row>
    <row r="28" spans="1:14" ht="18" customHeight="1" x14ac:dyDescent="0.2">
      <c r="A28" s="259" t="s">
        <v>499</v>
      </c>
      <c r="B28" s="252" t="s">
        <v>73</v>
      </c>
      <c r="C28" s="252" t="s">
        <v>202</v>
      </c>
      <c r="D28" s="252" t="s">
        <v>202</v>
      </c>
      <c r="E28" s="252" t="s">
        <v>751</v>
      </c>
      <c r="F28" s="252"/>
      <c r="G28" s="256"/>
      <c r="H28" s="256"/>
      <c r="I28" s="257"/>
      <c r="J28" s="277"/>
      <c r="K28" s="257"/>
      <c r="L28" s="258">
        <f>L29</f>
        <v>0</v>
      </c>
      <c r="M28" s="258">
        <f t="shared" ref="M28:N28" si="9">M29</f>
        <v>10</v>
      </c>
      <c r="N28" s="258">
        <f t="shared" si="9"/>
        <v>10</v>
      </c>
    </row>
    <row r="29" spans="1:14" ht="18" customHeight="1" x14ac:dyDescent="0.2">
      <c r="A29" s="259" t="s">
        <v>121</v>
      </c>
      <c r="B29" s="252" t="s">
        <v>73</v>
      </c>
      <c r="C29" s="252" t="s">
        <v>202</v>
      </c>
      <c r="D29" s="252" t="s">
        <v>202</v>
      </c>
      <c r="E29" s="252" t="s">
        <v>751</v>
      </c>
      <c r="F29" s="252" t="s">
        <v>94</v>
      </c>
      <c r="G29" s="256"/>
      <c r="H29" s="256"/>
      <c r="I29" s="257"/>
      <c r="J29" s="277"/>
      <c r="K29" s="257"/>
      <c r="L29" s="258">
        <v>0</v>
      </c>
      <c r="M29" s="258">
        <v>10</v>
      </c>
      <c r="N29" s="258">
        <f>L29+M29</f>
        <v>10</v>
      </c>
    </row>
    <row r="30" spans="1:14" s="19" customFormat="1" ht="14.25" x14ac:dyDescent="0.2">
      <c r="A30" s="398" t="s">
        <v>80</v>
      </c>
      <c r="B30" s="250" t="s">
        <v>73</v>
      </c>
      <c r="C30" s="250" t="s">
        <v>233</v>
      </c>
      <c r="D30" s="250"/>
      <c r="E30" s="250"/>
      <c r="F30" s="250"/>
      <c r="G30" s="275">
        <f>G31+G135</f>
        <v>0</v>
      </c>
      <c r="H30" s="275">
        <f>H31+H135</f>
        <v>22346.799999999999</v>
      </c>
      <c r="I30" s="275">
        <f>I31+I135</f>
        <v>0</v>
      </c>
      <c r="J30" s="275">
        <f t="shared" si="5"/>
        <v>22346.799999999999</v>
      </c>
      <c r="K30" s="275" t="e">
        <f>K31+K135</f>
        <v>#REF!</v>
      </c>
      <c r="L30" s="275">
        <f>L31+L135</f>
        <v>24579</v>
      </c>
      <c r="M30" s="275">
        <f>M31+M135</f>
        <v>7927</v>
      </c>
      <c r="N30" s="275">
        <f>N31+N135</f>
        <v>32506</v>
      </c>
    </row>
    <row r="31" spans="1:14" ht="15" x14ac:dyDescent="0.2">
      <c r="A31" s="398" t="s">
        <v>81</v>
      </c>
      <c r="B31" s="250" t="s">
        <v>73</v>
      </c>
      <c r="C31" s="250" t="s">
        <v>233</v>
      </c>
      <c r="D31" s="250" t="s">
        <v>190</v>
      </c>
      <c r="E31" s="250"/>
      <c r="F31" s="250"/>
      <c r="G31" s="262">
        <f>G32+G35+G39+G124+G128+G132</f>
        <v>0</v>
      </c>
      <c r="H31" s="262">
        <f>H124+H128+H132</f>
        <v>15505.8</v>
      </c>
      <c r="I31" s="262">
        <f>I124+I128+I132</f>
        <v>0</v>
      </c>
      <c r="J31" s="262">
        <f>J124+J128+J132</f>
        <v>15505.8</v>
      </c>
      <c r="K31" s="262" t="e">
        <f>K124+K128</f>
        <v>#REF!</v>
      </c>
      <c r="L31" s="262">
        <f>L124+L128</f>
        <v>17450</v>
      </c>
      <c r="M31" s="262">
        <f>M124+M128</f>
        <v>7931</v>
      </c>
      <c r="N31" s="262">
        <f>N124+N128</f>
        <v>25381</v>
      </c>
    </row>
    <row r="32" spans="1:14" ht="39.75" hidden="1" customHeight="1" x14ac:dyDescent="0.2">
      <c r="A32" s="259" t="s">
        <v>997</v>
      </c>
      <c r="B32" s="252" t="s">
        <v>73</v>
      </c>
      <c r="C32" s="252" t="s">
        <v>233</v>
      </c>
      <c r="D32" s="252" t="s">
        <v>190</v>
      </c>
      <c r="E32" s="252" t="s">
        <v>448</v>
      </c>
      <c r="F32" s="252"/>
      <c r="G32" s="256"/>
      <c r="H32" s="256"/>
      <c r="I32" s="257">
        <f>I33+I34</f>
        <v>-7464.3980000000001</v>
      </c>
      <c r="J32" s="257" t="e">
        <f>J33+J34</f>
        <v>#REF!</v>
      </c>
      <c r="K32" s="257">
        <f>K33+K34</f>
        <v>-7464.3980000000001</v>
      </c>
      <c r="L32" s="257" t="e">
        <f>L33+L34</f>
        <v>#REF!</v>
      </c>
      <c r="M32" s="257" t="e">
        <f t="shared" ref="M32:N32" si="10">M33+M34</f>
        <v>#REF!</v>
      </c>
      <c r="N32" s="257" t="e">
        <f t="shared" si="10"/>
        <v>#REF!</v>
      </c>
    </row>
    <row r="33" spans="1:14" ht="41.25" hidden="1" customHeight="1" x14ac:dyDescent="0.2">
      <c r="A33" s="259" t="s">
        <v>76</v>
      </c>
      <c r="B33" s="252" t="s">
        <v>73</v>
      </c>
      <c r="C33" s="252" t="s">
        <v>233</v>
      </c>
      <c r="D33" s="252" t="s">
        <v>190</v>
      </c>
      <c r="E33" s="252" t="s">
        <v>448</v>
      </c>
      <c r="F33" s="252" t="s">
        <v>77</v>
      </c>
      <c r="G33" s="256"/>
      <c r="H33" s="256"/>
      <c r="I33" s="257">
        <v>-7464.3980000000001</v>
      </c>
      <c r="J33" s="257" t="e">
        <f>#REF!+I33</f>
        <v>#REF!</v>
      </c>
      <c r="K33" s="257">
        <v>-7464.3980000000001</v>
      </c>
      <c r="L33" s="257" t="e">
        <f>#REF!+J33</f>
        <v>#REF!</v>
      </c>
      <c r="M33" s="257" t="e">
        <f>#REF!+K33</f>
        <v>#REF!</v>
      </c>
      <c r="N33" s="257" t="e">
        <f>#REF!+L33</f>
        <v>#REF!</v>
      </c>
    </row>
    <row r="34" spans="1:14" ht="19.5" hidden="1" customHeight="1" x14ac:dyDescent="0.2">
      <c r="A34" s="259" t="s">
        <v>495</v>
      </c>
      <c r="B34" s="252" t="s">
        <v>73</v>
      </c>
      <c r="C34" s="252" t="s">
        <v>233</v>
      </c>
      <c r="D34" s="252" t="s">
        <v>190</v>
      </c>
      <c r="E34" s="252" t="s">
        <v>489</v>
      </c>
      <c r="F34" s="252" t="s">
        <v>77</v>
      </c>
      <c r="G34" s="256"/>
      <c r="H34" s="256"/>
      <c r="I34" s="257">
        <v>0</v>
      </c>
      <c r="J34" s="257">
        <f>G34+I34</f>
        <v>0</v>
      </c>
      <c r="K34" s="257">
        <v>0</v>
      </c>
      <c r="L34" s="257">
        <f>H34+J34</f>
        <v>0</v>
      </c>
      <c r="M34" s="257">
        <f t="shared" ref="M34:N34" si="11">I34+K34</f>
        <v>0</v>
      </c>
      <c r="N34" s="257">
        <f t="shared" si="11"/>
        <v>0</v>
      </c>
    </row>
    <row r="35" spans="1:14" ht="35.25" hidden="1" customHeight="1" x14ac:dyDescent="0.2">
      <c r="A35" s="259" t="s">
        <v>998</v>
      </c>
      <c r="B35" s="252" t="s">
        <v>73</v>
      </c>
      <c r="C35" s="252" t="s">
        <v>233</v>
      </c>
      <c r="D35" s="252" t="s">
        <v>190</v>
      </c>
      <c r="E35" s="252" t="s">
        <v>447</v>
      </c>
      <c r="F35" s="252"/>
      <c r="G35" s="256"/>
      <c r="H35" s="256"/>
      <c r="I35" s="257">
        <f>I36+I38+I37</f>
        <v>-6002.8739999999998</v>
      </c>
      <c r="J35" s="257" t="e">
        <f>J36+J38+J37</f>
        <v>#REF!</v>
      </c>
      <c r="K35" s="257">
        <f>K36+K38+K37</f>
        <v>-6002.8739999999998</v>
      </c>
      <c r="L35" s="257" t="e">
        <f>L36+L38+L37</f>
        <v>#REF!</v>
      </c>
      <c r="M35" s="257" t="e">
        <f t="shared" ref="M35:N35" si="12">M36+M38+M37</f>
        <v>#REF!</v>
      </c>
      <c r="N35" s="257" t="e">
        <f t="shared" si="12"/>
        <v>#REF!</v>
      </c>
    </row>
    <row r="36" spans="1:14" ht="35.25" hidden="1" customHeight="1" x14ac:dyDescent="0.2">
      <c r="A36" s="259" t="s">
        <v>76</v>
      </c>
      <c r="B36" s="252" t="s">
        <v>73</v>
      </c>
      <c r="C36" s="252" t="s">
        <v>233</v>
      </c>
      <c r="D36" s="252" t="s">
        <v>190</v>
      </c>
      <c r="E36" s="252" t="s">
        <v>447</v>
      </c>
      <c r="F36" s="252" t="s">
        <v>77</v>
      </c>
      <c r="G36" s="256"/>
      <c r="H36" s="256"/>
      <c r="I36" s="257">
        <v>-4672.2139999999999</v>
      </c>
      <c r="J36" s="257" t="e">
        <f>#REF!+I36</f>
        <v>#REF!</v>
      </c>
      <c r="K36" s="257">
        <v>-4672.2139999999999</v>
      </c>
      <c r="L36" s="257" t="e">
        <f>#REF!+J36</f>
        <v>#REF!</v>
      </c>
      <c r="M36" s="257" t="e">
        <f>#REF!+K36</f>
        <v>#REF!</v>
      </c>
      <c r="N36" s="257" t="e">
        <f>#REF!+L36</f>
        <v>#REF!</v>
      </c>
    </row>
    <row r="37" spans="1:14" ht="18" hidden="1" customHeight="1" x14ac:dyDescent="0.2">
      <c r="A37" s="259" t="s">
        <v>495</v>
      </c>
      <c r="B37" s="252" t="s">
        <v>73</v>
      </c>
      <c r="C37" s="252" t="s">
        <v>233</v>
      </c>
      <c r="D37" s="252" t="s">
        <v>190</v>
      </c>
      <c r="E37" s="252" t="s">
        <v>490</v>
      </c>
      <c r="F37" s="252" t="s">
        <v>77</v>
      </c>
      <c r="G37" s="256"/>
      <c r="H37" s="256"/>
      <c r="I37" s="257">
        <v>-1080.6600000000001</v>
      </c>
      <c r="J37" s="257" t="e">
        <f>#REF!+I37</f>
        <v>#REF!</v>
      </c>
      <c r="K37" s="257">
        <v>-1080.6600000000001</v>
      </c>
      <c r="L37" s="257" t="e">
        <f>#REF!+J37</f>
        <v>#REF!</v>
      </c>
      <c r="M37" s="257" t="e">
        <f>#REF!+K37</f>
        <v>#REF!</v>
      </c>
      <c r="N37" s="257" t="e">
        <f>#REF!+L37</f>
        <v>#REF!</v>
      </c>
    </row>
    <row r="38" spans="1:14" ht="12.75" hidden="1" customHeight="1" x14ac:dyDescent="0.2">
      <c r="A38" s="259" t="s">
        <v>78</v>
      </c>
      <c r="B38" s="252" t="s">
        <v>73</v>
      </c>
      <c r="C38" s="252" t="s">
        <v>233</v>
      </c>
      <c r="D38" s="252" t="s">
        <v>190</v>
      </c>
      <c r="E38" s="252" t="s">
        <v>447</v>
      </c>
      <c r="F38" s="252" t="s">
        <v>79</v>
      </c>
      <c r="G38" s="256"/>
      <c r="H38" s="256"/>
      <c r="I38" s="257">
        <v>-250</v>
      </c>
      <c r="J38" s="257" t="e">
        <f>#REF!+I38</f>
        <v>#REF!</v>
      </c>
      <c r="K38" s="257">
        <v>-250</v>
      </c>
      <c r="L38" s="257" t="e">
        <f>#REF!+J38</f>
        <v>#REF!</v>
      </c>
      <c r="M38" s="257" t="e">
        <f>#REF!+K38</f>
        <v>#REF!</v>
      </c>
      <c r="N38" s="257" t="e">
        <f>#REF!+L38</f>
        <v>#REF!</v>
      </c>
    </row>
    <row r="39" spans="1:14" ht="39.75" hidden="1" customHeight="1" x14ac:dyDescent="0.2">
      <c r="A39" s="259" t="s">
        <v>493</v>
      </c>
      <c r="B39" s="252" t="s">
        <v>73</v>
      </c>
      <c r="C39" s="252" t="s">
        <v>233</v>
      </c>
      <c r="D39" s="252" t="s">
        <v>190</v>
      </c>
      <c r="E39" s="252" t="s">
        <v>492</v>
      </c>
      <c r="F39" s="252"/>
      <c r="G39" s="256"/>
      <c r="H39" s="256"/>
      <c r="I39" s="257">
        <f>I40</f>
        <v>-3.8</v>
      </c>
      <c r="J39" s="257" t="e">
        <f>J40</f>
        <v>#REF!</v>
      </c>
      <c r="K39" s="257">
        <f>K40</f>
        <v>-3.8</v>
      </c>
      <c r="L39" s="257" t="e">
        <f>L40</f>
        <v>#REF!</v>
      </c>
      <c r="M39" s="257" t="e">
        <f t="shared" ref="M39:N39" si="13">M40</f>
        <v>#REF!</v>
      </c>
      <c r="N39" s="257" t="e">
        <f t="shared" si="13"/>
        <v>#REF!</v>
      </c>
    </row>
    <row r="40" spans="1:14" ht="20.25" hidden="1" customHeight="1" x14ac:dyDescent="0.2">
      <c r="A40" s="259" t="s">
        <v>93</v>
      </c>
      <c r="B40" s="252" t="s">
        <v>73</v>
      </c>
      <c r="C40" s="252" t="s">
        <v>233</v>
      </c>
      <c r="D40" s="252" t="s">
        <v>190</v>
      </c>
      <c r="E40" s="252" t="s">
        <v>492</v>
      </c>
      <c r="F40" s="252" t="s">
        <v>94</v>
      </c>
      <c r="G40" s="256"/>
      <c r="H40" s="256"/>
      <c r="I40" s="257">
        <v>-3.8</v>
      </c>
      <c r="J40" s="257" t="e">
        <f>#REF!+I40</f>
        <v>#REF!</v>
      </c>
      <c r="K40" s="257">
        <v>-3.8</v>
      </c>
      <c r="L40" s="257" t="e">
        <f>#REF!+J40</f>
        <v>#REF!</v>
      </c>
      <c r="M40" s="257" t="e">
        <f>#REF!+K40</f>
        <v>#REF!</v>
      </c>
      <c r="N40" s="257" t="e">
        <f>#REF!+L40</f>
        <v>#REF!</v>
      </c>
    </row>
    <row r="41" spans="1:14" ht="25.5" hidden="1" customHeight="1" x14ac:dyDescent="0.2">
      <c r="A41" s="259" t="s">
        <v>147</v>
      </c>
      <c r="B41" s="252" t="s">
        <v>73</v>
      </c>
      <c r="C41" s="252" t="s">
        <v>233</v>
      </c>
      <c r="D41" s="252" t="s">
        <v>190</v>
      </c>
      <c r="E41" s="252" t="s">
        <v>84</v>
      </c>
      <c r="F41" s="252"/>
      <c r="G41" s="256"/>
      <c r="H41" s="256"/>
      <c r="I41" s="257" t="e">
        <f>I42</f>
        <v>#REF!</v>
      </c>
      <c r="J41" s="257" t="e">
        <f>J42</f>
        <v>#REF!</v>
      </c>
      <c r="K41" s="257" t="e">
        <f>K42</f>
        <v>#REF!</v>
      </c>
      <c r="L41" s="257" t="e">
        <f>L42</f>
        <v>#REF!</v>
      </c>
      <c r="M41" s="257" t="e">
        <f t="shared" ref="M41:N41" si="14">M42</f>
        <v>#REF!</v>
      </c>
      <c r="N41" s="257" t="e">
        <f t="shared" si="14"/>
        <v>#REF!</v>
      </c>
    </row>
    <row r="42" spans="1:14" ht="12.75" hidden="1" customHeight="1" x14ac:dyDescent="0.2">
      <c r="A42" s="259" t="s">
        <v>300</v>
      </c>
      <c r="B42" s="252" t="s">
        <v>73</v>
      </c>
      <c r="C42" s="252" t="s">
        <v>233</v>
      </c>
      <c r="D42" s="252" t="s">
        <v>190</v>
      </c>
      <c r="E42" s="252" t="s">
        <v>84</v>
      </c>
      <c r="F42" s="252" t="s">
        <v>301</v>
      </c>
      <c r="G42" s="256"/>
      <c r="H42" s="256"/>
      <c r="I42" s="257" t="e">
        <f>#REF!+G42</f>
        <v>#REF!</v>
      </c>
      <c r="J42" s="257" t="e">
        <f>#REF!+I42</f>
        <v>#REF!</v>
      </c>
      <c r="K42" s="257" t="e">
        <f>#REF!+I42</f>
        <v>#REF!</v>
      </c>
      <c r="L42" s="257" t="e">
        <f>F42+J42</f>
        <v>#REF!</v>
      </c>
      <c r="M42" s="257" t="e">
        <f t="shared" ref="M42:N42" si="15">G42+K42</f>
        <v>#REF!</v>
      </c>
      <c r="N42" s="257" t="e">
        <f t="shared" si="15"/>
        <v>#REF!</v>
      </c>
    </row>
    <row r="43" spans="1:14" ht="12.75" hidden="1" customHeight="1" x14ac:dyDescent="0.2">
      <c r="A43" s="259" t="s">
        <v>85</v>
      </c>
      <c r="B43" s="252" t="s">
        <v>73</v>
      </c>
      <c r="C43" s="252" t="s">
        <v>233</v>
      </c>
      <c r="D43" s="252" t="s">
        <v>190</v>
      </c>
      <c r="E43" s="252" t="s">
        <v>86</v>
      </c>
      <c r="F43" s="252"/>
      <c r="G43" s="256"/>
      <c r="H43" s="256"/>
      <c r="I43" s="257" t="e">
        <f>I44</f>
        <v>#REF!</v>
      </c>
      <c r="J43" s="257" t="e">
        <f>J44</f>
        <v>#REF!</v>
      </c>
      <c r="K43" s="257" t="e">
        <f>K44</f>
        <v>#REF!</v>
      </c>
      <c r="L43" s="257" t="e">
        <f>L44</f>
        <v>#REF!</v>
      </c>
      <c r="M43" s="257" t="e">
        <f t="shared" ref="M43:N43" si="16">M44</f>
        <v>#REF!</v>
      </c>
      <c r="N43" s="257" t="e">
        <f t="shared" si="16"/>
        <v>#REF!</v>
      </c>
    </row>
    <row r="44" spans="1:14" ht="12.75" hidden="1" customHeight="1" x14ac:dyDescent="0.2">
      <c r="A44" s="259" t="s">
        <v>299</v>
      </c>
      <c r="B44" s="252" t="s">
        <v>73</v>
      </c>
      <c r="C44" s="252" t="s">
        <v>233</v>
      </c>
      <c r="D44" s="252" t="s">
        <v>190</v>
      </c>
      <c r="E44" s="252" t="s">
        <v>87</v>
      </c>
      <c r="F44" s="252"/>
      <c r="G44" s="256"/>
      <c r="H44" s="256"/>
      <c r="I44" s="257" t="e">
        <f>I45+I46+I47</f>
        <v>#REF!</v>
      </c>
      <c r="J44" s="257" t="e">
        <f>J45+J46+J47</f>
        <v>#REF!</v>
      </c>
      <c r="K44" s="257" t="e">
        <f>K45+K46+K47</f>
        <v>#REF!</v>
      </c>
      <c r="L44" s="257" t="e">
        <f>L45+L46+L47</f>
        <v>#REF!</v>
      </c>
      <c r="M44" s="257" t="e">
        <f t="shared" ref="M44:N44" si="17">M45+M46+M47</f>
        <v>#REF!</v>
      </c>
      <c r="N44" s="257" t="e">
        <f t="shared" si="17"/>
        <v>#REF!</v>
      </c>
    </row>
    <row r="45" spans="1:14" ht="12.75" hidden="1" customHeight="1" x14ac:dyDescent="0.2">
      <c r="A45" s="259" t="s">
        <v>300</v>
      </c>
      <c r="B45" s="252" t="s">
        <v>73</v>
      </c>
      <c r="C45" s="252" t="s">
        <v>233</v>
      </c>
      <c r="D45" s="252" t="s">
        <v>190</v>
      </c>
      <c r="E45" s="252" t="s">
        <v>87</v>
      </c>
      <c r="F45" s="252" t="s">
        <v>301</v>
      </c>
      <c r="G45" s="256"/>
      <c r="H45" s="256"/>
      <c r="I45" s="257" t="e">
        <f>#REF!+G45</f>
        <v>#REF!</v>
      </c>
      <c r="J45" s="257" t="e">
        <f>#REF!+I45</f>
        <v>#REF!</v>
      </c>
      <c r="K45" s="257" t="e">
        <f>#REF!+I45</f>
        <v>#REF!</v>
      </c>
      <c r="L45" s="257" t="e">
        <f>F45+J45</f>
        <v>#REF!</v>
      </c>
      <c r="M45" s="257" t="e">
        <f t="shared" ref="M45:N46" si="18">G45+K45</f>
        <v>#REF!</v>
      </c>
      <c r="N45" s="257" t="e">
        <f t="shared" si="18"/>
        <v>#REF!</v>
      </c>
    </row>
    <row r="46" spans="1:14" ht="12.75" hidden="1" customHeight="1" x14ac:dyDescent="0.2">
      <c r="A46" s="259" t="s">
        <v>302</v>
      </c>
      <c r="B46" s="252" t="s">
        <v>73</v>
      </c>
      <c r="C46" s="252" t="s">
        <v>233</v>
      </c>
      <c r="D46" s="252" t="s">
        <v>190</v>
      </c>
      <c r="E46" s="252" t="s">
        <v>87</v>
      </c>
      <c r="F46" s="252" t="s">
        <v>303</v>
      </c>
      <c r="G46" s="256"/>
      <c r="H46" s="256"/>
      <c r="I46" s="257" t="e">
        <f>#REF!+G46</f>
        <v>#REF!</v>
      </c>
      <c r="J46" s="257" t="e">
        <f>#REF!+I46</f>
        <v>#REF!</v>
      </c>
      <c r="K46" s="257" t="e">
        <f>#REF!+I46</f>
        <v>#REF!</v>
      </c>
      <c r="L46" s="257" t="e">
        <f>F46+J46</f>
        <v>#REF!</v>
      </c>
      <c r="M46" s="257" t="e">
        <f t="shared" si="18"/>
        <v>#REF!</v>
      </c>
      <c r="N46" s="257" t="e">
        <f t="shared" si="18"/>
        <v>#REF!</v>
      </c>
    </row>
    <row r="47" spans="1:14" ht="25.5" hidden="1" customHeight="1" x14ac:dyDescent="0.2">
      <c r="A47" s="259" t="s">
        <v>147</v>
      </c>
      <c r="B47" s="252" t="s">
        <v>73</v>
      </c>
      <c r="C47" s="252" t="s">
        <v>233</v>
      </c>
      <c r="D47" s="252" t="s">
        <v>190</v>
      </c>
      <c r="E47" s="252" t="s">
        <v>88</v>
      </c>
      <c r="F47" s="252"/>
      <c r="G47" s="256"/>
      <c r="H47" s="256"/>
      <c r="I47" s="257" t="e">
        <f>I48</f>
        <v>#REF!</v>
      </c>
      <c r="J47" s="257" t="e">
        <f>J48</f>
        <v>#REF!</v>
      </c>
      <c r="K47" s="257" t="e">
        <f>K48</f>
        <v>#REF!</v>
      </c>
      <c r="L47" s="257" t="e">
        <f>L48</f>
        <v>#REF!</v>
      </c>
      <c r="M47" s="257" t="e">
        <f t="shared" ref="M47:N47" si="19">M48</f>
        <v>#REF!</v>
      </c>
      <c r="N47" s="257" t="e">
        <f t="shared" si="19"/>
        <v>#REF!</v>
      </c>
    </row>
    <row r="48" spans="1:14" ht="12.75" hidden="1" customHeight="1" x14ac:dyDescent="0.2">
      <c r="A48" s="259" t="s">
        <v>300</v>
      </c>
      <c r="B48" s="252" t="s">
        <v>73</v>
      </c>
      <c r="C48" s="252" t="s">
        <v>233</v>
      </c>
      <c r="D48" s="252" t="s">
        <v>190</v>
      </c>
      <c r="E48" s="252" t="s">
        <v>88</v>
      </c>
      <c r="F48" s="252" t="s">
        <v>301</v>
      </c>
      <c r="G48" s="256"/>
      <c r="H48" s="256"/>
      <c r="I48" s="257" t="e">
        <f>#REF!+G48</f>
        <v>#REF!</v>
      </c>
      <c r="J48" s="257" t="e">
        <f>#REF!+I48</f>
        <v>#REF!</v>
      </c>
      <c r="K48" s="257" t="e">
        <f>#REF!+I48</f>
        <v>#REF!</v>
      </c>
      <c r="L48" s="257" t="e">
        <f>F48+J48</f>
        <v>#REF!</v>
      </c>
      <c r="M48" s="257" t="e">
        <f t="shared" ref="M48:N48" si="20">G48+K48</f>
        <v>#REF!</v>
      </c>
      <c r="N48" s="257" t="e">
        <f t="shared" si="20"/>
        <v>#REF!</v>
      </c>
    </row>
    <row r="49" spans="1:14" ht="15" hidden="1" x14ac:dyDescent="0.2">
      <c r="A49" s="259" t="s">
        <v>89</v>
      </c>
      <c r="B49" s="252" t="s">
        <v>73</v>
      </c>
      <c r="C49" s="252" t="s">
        <v>233</v>
      </c>
      <c r="D49" s="252" t="s">
        <v>190</v>
      </c>
      <c r="E49" s="252" t="s">
        <v>82</v>
      </c>
      <c r="F49" s="252"/>
      <c r="G49" s="256"/>
      <c r="H49" s="256"/>
      <c r="I49" s="257" t="e">
        <f>I63+I50</f>
        <v>#REF!</v>
      </c>
      <c r="J49" s="257" t="e">
        <f>J63+J50</f>
        <v>#REF!</v>
      </c>
      <c r="K49" s="257" t="e">
        <f>K63+K50</f>
        <v>#REF!</v>
      </c>
      <c r="L49" s="257" t="e">
        <f>L63+L50</f>
        <v>#REF!</v>
      </c>
      <c r="M49" s="257" t="e">
        <f t="shared" ref="M49:N49" si="21">M63+M50</f>
        <v>#REF!</v>
      </c>
      <c r="N49" s="257" t="e">
        <f t="shared" si="21"/>
        <v>#REF!</v>
      </c>
    </row>
    <row r="50" spans="1:14" ht="38.25" hidden="1" customHeight="1" x14ac:dyDescent="0.2">
      <c r="A50" s="259" t="s">
        <v>90</v>
      </c>
      <c r="B50" s="252" t="s">
        <v>73</v>
      </c>
      <c r="C50" s="252" t="s">
        <v>233</v>
      </c>
      <c r="D50" s="252" t="s">
        <v>190</v>
      </c>
      <c r="E50" s="252" t="s">
        <v>91</v>
      </c>
      <c r="F50" s="252"/>
      <c r="G50" s="256"/>
      <c r="H50" s="256"/>
      <c r="I50" s="257" t="e">
        <f>I62</f>
        <v>#REF!</v>
      </c>
      <c r="J50" s="257" t="e">
        <f>J62</f>
        <v>#REF!</v>
      </c>
      <c r="K50" s="257" t="e">
        <f>K62</f>
        <v>#REF!</v>
      </c>
      <c r="L50" s="257" t="e">
        <f>L62</f>
        <v>#REF!</v>
      </c>
      <c r="M50" s="257" t="e">
        <f t="shared" ref="M50:N50" si="22">M62</f>
        <v>#REF!</v>
      </c>
      <c r="N50" s="257" t="e">
        <f t="shared" si="22"/>
        <v>#REF!</v>
      </c>
    </row>
    <row r="51" spans="1:14" ht="12.75" hidden="1" customHeight="1" x14ac:dyDescent="0.2">
      <c r="A51" s="259" t="s">
        <v>302</v>
      </c>
      <c r="B51" s="252" t="s">
        <v>73</v>
      </c>
      <c r="C51" s="252" t="s">
        <v>233</v>
      </c>
      <c r="D51" s="252" t="s">
        <v>190</v>
      </c>
      <c r="E51" s="252" t="s">
        <v>83</v>
      </c>
      <c r="F51" s="252" t="s">
        <v>303</v>
      </c>
      <c r="G51" s="256"/>
      <c r="H51" s="256"/>
      <c r="I51" s="257" t="e">
        <f>#REF!+G51</f>
        <v>#REF!</v>
      </c>
      <c r="J51" s="257" t="e">
        <f>#REF!+I51</f>
        <v>#REF!</v>
      </c>
      <c r="K51" s="257" t="e">
        <f>#REF!+I51</f>
        <v>#REF!</v>
      </c>
      <c r="L51" s="257" t="e">
        <f>F51+J51</f>
        <v>#REF!</v>
      </c>
      <c r="M51" s="257" t="e">
        <f t="shared" ref="M51:N52" si="23">G51+K51</f>
        <v>#REF!</v>
      </c>
      <c r="N51" s="257" t="e">
        <f t="shared" si="23"/>
        <v>#REF!</v>
      </c>
    </row>
    <row r="52" spans="1:14" ht="12.75" hidden="1" customHeight="1" x14ac:dyDescent="0.2">
      <c r="A52" s="259" t="s">
        <v>144</v>
      </c>
      <c r="B52" s="252" t="s">
        <v>73</v>
      </c>
      <c r="C52" s="252" t="s">
        <v>233</v>
      </c>
      <c r="D52" s="252" t="s">
        <v>190</v>
      </c>
      <c r="E52" s="252" t="s">
        <v>83</v>
      </c>
      <c r="F52" s="252" t="s">
        <v>145</v>
      </c>
      <c r="G52" s="256"/>
      <c r="H52" s="256"/>
      <c r="I52" s="257" t="e">
        <f>#REF!+G52</f>
        <v>#REF!</v>
      </c>
      <c r="J52" s="257" t="e">
        <f>#REF!+I52</f>
        <v>#REF!</v>
      </c>
      <c r="K52" s="257" t="e">
        <f>#REF!+I52</f>
        <v>#REF!</v>
      </c>
      <c r="L52" s="257" t="e">
        <f>F52+J52</f>
        <v>#REF!</v>
      </c>
      <c r="M52" s="257" t="e">
        <f t="shared" si="23"/>
        <v>#REF!</v>
      </c>
      <c r="N52" s="257" t="e">
        <f t="shared" si="23"/>
        <v>#REF!</v>
      </c>
    </row>
    <row r="53" spans="1:14" ht="25.5" hidden="1" customHeight="1" x14ac:dyDescent="0.2">
      <c r="A53" s="259" t="s">
        <v>147</v>
      </c>
      <c r="B53" s="252" t="s">
        <v>73</v>
      </c>
      <c r="C53" s="252" t="s">
        <v>233</v>
      </c>
      <c r="D53" s="252" t="s">
        <v>190</v>
      </c>
      <c r="E53" s="252" t="s">
        <v>83</v>
      </c>
      <c r="F53" s="252"/>
      <c r="G53" s="256"/>
      <c r="H53" s="256"/>
      <c r="I53" s="257" t="e">
        <f>I54</f>
        <v>#REF!</v>
      </c>
      <c r="J53" s="257" t="e">
        <f>J54</f>
        <v>#REF!</v>
      </c>
      <c r="K53" s="257" t="e">
        <f>K54</f>
        <v>#REF!</v>
      </c>
      <c r="L53" s="257" t="e">
        <f>L54</f>
        <v>#REF!</v>
      </c>
      <c r="M53" s="257" t="e">
        <f t="shared" ref="M53:N53" si="24">M54</f>
        <v>#REF!</v>
      </c>
      <c r="N53" s="257" t="e">
        <f t="shared" si="24"/>
        <v>#REF!</v>
      </c>
    </row>
    <row r="54" spans="1:14" ht="12.75" hidden="1" customHeight="1" x14ac:dyDescent="0.2">
      <c r="A54" s="259" t="s">
        <v>300</v>
      </c>
      <c r="B54" s="252" t="s">
        <v>73</v>
      </c>
      <c r="C54" s="252" t="s">
        <v>233</v>
      </c>
      <c r="D54" s="252" t="s">
        <v>190</v>
      </c>
      <c r="E54" s="252" t="s">
        <v>83</v>
      </c>
      <c r="F54" s="252" t="s">
        <v>301</v>
      </c>
      <c r="G54" s="256"/>
      <c r="H54" s="256"/>
      <c r="I54" s="257" t="e">
        <f>#REF!+G54</f>
        <v>#REF!</v>
      </c>
      <c r="J54" s="257" t="e">
        <f>#REF!+I54</f>
        <v>#REF!</v>
      </c>
      <c r="K54" s="257" t="e">
        <f>#REF!+I54</f>
        <v>#REF!</v>
      </c>
      <c r="L54" s="257" t="e">
        <f>F54+J54</f>
        <v>#REF!</v>
      </c>
      <c r="M54" s="257" t="e">
        <f t="shared" ref="M54:N54" si="25">G54+K54</f>
        <v>#REF!</v>
      </c>
      <c r="N54" s="257" t="e">
        <f t="shared" si="25"/>
        <v>#REF!</v>
      </c>
    </row>
    <row r="55" spans="1:14" ht="25.5" hidden="1" customHeight="1" x14ac:dyDescent="0.2">
      <c r="A55" s="259" t="s">
        <v>92</v>
      </c>
      <c r="B55" s="252" t="s">
        <v>73</v>
      </c>
      <c r="C55" s="252" t="s">
        <v>233</v>
      </c>
      <c r="D55" s="252" t="s">
        <v>190</v>
      </c>
      <c r="E55" s="252" t="s">
        <v>83</v>
      </c>
      <c r="F55" s="252"/>
      <c r="G55" s="256"/>
      <c r="H55" s="256"/>
      <c r="I55" s="257" t="e">
        <f>I56</f>
        <v>#REF!</v>
      </c>
      <c r="J55" s="257" t="e">
        <f>J56</f>
        <v>#REF!</v>
      </c>
      <c r="K55" s="257" t="e">
        <f>K56</f>
        <v>#REF!</v>
      </c>
      <c r="L55" s="257" t="e">
        <f>L56</f>
        <v>#REF!</v>
      </c>
      <c r="M55" s="257" t="e">
        <f t="shared" ref="M55:N55" si="26">M56</f>
        <v>#REF!</v>
      </c>
      <c r="N55" s="257" t="e">
        <f t="shared" si="26"/>
        <v>#REF!</v>
      </c>
    </row>
    <row r="56" spans="1:14" ht="12.75" hidden="1" customHeight="1" x14ac:dyDescent="0.2">
      <c r="A56" s="259" t="s">
        <v>299</v>
      </c>
      <c r="B56" s="252" t="s">
        <v>73</v>
      </c>
      <c r="C56" s="252" t="s">
        <v>233</v>
      </c>
      <c r="D56" s="252" t="s">
        <v>190</v>
      </c>
      <c r="E56" s="252" t="s">
        <v>83</v>
      </c>
      <c r="F56" s="252"/>
      <c r="G56" s="256"/>
      <c r="H56" s="256"/>
      <c r="I56" s="257" t="e">
        <f>I57+I60+I58+I59</f>
        <v>#REF!</v>
      </c>
      <c r="J56" s="257" t="e">
        <f>J57+J60+J58+J59</f>
        <v>#REF!</v>
      </c>
      <c r="K56" s="257" t="e">
        <f>K57+K60+K58+K59</f>
        <v>#REF!</v>
      </c>
      <c r="L56" s="257" t="e">
        <f>L57+L60+L58+L59</f>
        <v>#REF!</v>
      </c>
      <c r="M56" s="257" t="e">
        <f t="shared" ref="M56:N56" si="27">M57+M60+M58+M59</f>
        <v>#REF!</v>
      </c>
      <c r="N56" s="257" t="e">
        <f t="shared" si="27"/>
        <v>#REF!</v>
      </c>
    </row>
    <row r="57" spans="1:14" ht="12.75" hidden="1" customHeight="1" x14ac:dyDescent="0.2">
      <c r="A57" s="259" t="s">
        <v>300</v>
      </c>
      <c r="B57" s="252" t="s">
        <v>73</v>
      </c>
      <c r="C57" s="252" t="s">
        <v>233</v>
      </c>
      <c r="D57" s="252" t="s">
        <v>190</v>
      </c>
      <c r="E57" s="252" t="s">
        <v>83</v>
      </c>
      <c r="F57" s="252" t="s">
        <v>301</v>
      </c>
      <c r="G57" s="256"/>
      <c r="H57" s="256"/>
      <c r="I57" s="257" t="e">
        <f>#REF!+G57</f>
        <v>#REF!</v>
      </c>
      <c r="J57" s="257" t="e">
        <f>#REF!+I57</f>
        <v>#REF!</v>
      </c>
      <c r="K57" s="257" t="e">
        <f>#REF!+I57</f>
        <v>#REF!</v>
      </c>
      <c r="L57" s="257" t="e">
        <f t="shared" ref="L57:L59" si="28">F57+J57</f>
        <v>#REF!</v>
      </c>
      <c r="M57" s="257" t="e">
        <f t="shared" ref="M57:M59" si="29">G57+K57</f>
        <v>#REF!</v>
      </c>
      <c r="N57" s="257" t="e">
        <f t="shared" ref="N57:N59" si="30">H57+L57</f>
        <v>#REF!</v>
      </c>
    </row>
    <row r="58" spans="1:14" ht="12.75" hidden="1" customHeight="1" x14ac:dyDescent="0.2">
      <c r="A58" s="259" t="s">
        <v>302</v>
      </c>
      <c r="B58" s="252" t="s">
        <v>73</v>
      </c>
      <c r="C58" s="252" t="s">
        <v>233</v>
      </c>
      <c r="D58" s="252" t="s">
        <v>190</v>
      </c>
      <c r="E58" s="252" t="s">
        <v>83</v>
      </c>
      <c r="F58" s="252" t="s">
        <v>303</v>
      </c>
      <c r="G58" s="256"/>
      <c r="H58" s="256"/>
      <c r="I58" s="257" t="e">
        <f>#REF!+G58</f>
        <v>#REF!</v>
      </c>
      <c r="J58" s="257" t="e">
        <f>#REF!+I58</f>
        <v>#REF!</v>
      </c>
      <c r="K58" s="257" t="e">
        <f>#REF!+I58</f>
        <v>#REF!</v>
      </c>
      <c r="L58" s="257" t="e">
        <f t="shared" si="28"/>
        <v>#REF!</v>
      </c>
      <c r="M58" s="257" t="e">
        <f t="shared" si="29"/>
        <v>#REF!</v>
      </c>
      <c r="N58" s="257" t="e">
        <f t="shared" si="30"/>
        <v>#REF!</v>
      </c>
    </row>
    <row r="59" spans="1:14" ht="12.75" hidden="1" customHeight="1" x14ac:dyDescent="0.2">
      <c r="A59" s="259" t="s">
        <v>144</v>
      </c>
      <c r="B59" s="252" t="s">
        <v>73</v>
      </c>
      <c r="C59" s="252" t="s">
        <v>233</v>
      </c>
      <c r="D59" s="252" t="s">
        <v>190</v>
      </c>
      <c r="E59" s="252" t="s">
        <v>83</v>
      </c>
      <c r="F59" s="252" t="s">
        <v>145</v>
      </c>
      <c r="G59" s="256"/>
      <c r="H59" s="256"/>
      <c r="I59" s="257" t="e">
        <f>#REF!+G59</f>
        <v>#REF!</v>
      </c>
      <c r="J59" s="257" t="e">
        <f>#REF!+I59</f>
        <v>#REF!</v>
      </c>
      <c r="K59" s="257" t="e">
        <f>#REF!+I59</f>
        <v>#REF!</v>
      </c>
      <c r="L59" s="257" t="e">
        <f t="shared" si="28"/>
        <v>#REF!</v>
      </c>
      <c r="M59" s="257" t="e">
        <f t="shared" si="29"/>
        <v>#REF!</v>
      </c>
      <c r="N59" s="257" t="e">
        <f t="shared" si="30"/>
        <v>#REF!</v>
      </c>
    </row>
    <row r="60" spans="1:14" ht="25.5" hidden="1" customHeight="1" x14ac:dyDescent="0.2">
      <c r="A60" s="259" t="s">
        <v>147</v>
      </c>
      <c r="B60" s="252" t="s">
        <v>73</v>
      </c>
      <c r="C60" s="252" t="s">
        <v>233</v>
      </c>
      <c r="D60" s="252" t="s">
        <v>190</v>
      </c>
      <c r="E60" s="252" t="s">
        <v>83</v>
      </c>
      <c r="F60" s="252"/>
      <c r="G60" s="256"/>
      <c r="H60" s="256"/>
      <c r="I60" s="257" t="e">
        <f>I61</f>
        <v>#REF!</v>
      </c>
      <c r="J60" s="257" t="e">
        <f>J61</f>
        <v>#REF!</v>
      </c>
      <c r="K60" s="257" t="e">
        <f>K61</f>
        <v>#REF!</v>
      </c>
      <c r="L60" s="257" t="e">
        <f>L61</f>
        <v>#REF!</v>
      </c>
      <c r="M60" s="257" t="e">
        <f t="shared" ref="M60:N60" si="31">M61</f>
        <v>#REF!</v>
      </c>
      <c r="N60" s="257" t="e">
        <f t="shared" si="31"/>
        <v>#REF!</v>
      </c>
    </row>
    <row r="61" spans="1:14" ht="12.75" hidden="1" customHeight="1" x14ac:dyDescent="0.2">
      <c r="A61" s="259" t="s">
        <v>300</v>
      </c>
      <c r="B61" s="252" t="s">
        <v>73</v>
      </c>
      <c r="C61" s="252" t="s">
        <v>233</v>
      </c>
      <c r="D61" s="252" t="s">
        <v>190</v>
      </c>
      <c r="E61" s="252" t="s">
        <v>83</v>
      </c>
      <c r="F61" s="252" t="s">
        <v>301</v>
      </c>
      <c r="G61" s="256"/>
      <c r="H61" s="256"/>
      <c r="I61" s="257" t="e">
        <f>#REF!+G61</f>
        <v>#REF!</v>
      </c>
      <c r="J61" s="257" t="e">
        <f>#REF!+I61</f>
        <v>#REF!</v>
      </c>
      <c r="K61" s="257" t="e">
        <f>#REF!+I61</f>
        <v>#REF!</v>
      </c>
      <c r="L61" s="257" t="e">
        <f>F61+J61</f>
        <v>#REF!</v>
      </c>
      <c r="M61" s="257" t="e">
        <f t="shared" ref="M61:N62" si="32">G61+K61</f>
        <v>#REF!</v>
      </c>
      <c r="N61" s="257" t="e">
        <f t="shared" si="32"/>
        <v>#REF!</v>
      </c>
    </row>
    <row r="62" spans="1:14" ht="25.5" hidden="1" customHeight="1" x14ac:dyDescent="0.2">
      <c r="A62" s="259" t="s">
        <v>93</v>
      </c>
      <c r="B62" s="252" t="s">
        <v>73</v>
      </c>
      <c r="C62" s="252" t="s">
        <v>233</v>
      </c>
      <c r="D62" s="252" t="s">
        <v>190</v>
      </c>
      <c r="E62" s="252" t="s">
        <v>91</v>
      </c>
      <c r="F62" s="252" t="s">
        <v>94</v>
      </c>
      <c r="G62" s="256"/>
      <c r="H62" s="256"/>
      <c r="I62" s="257" t="e">
        <f>#REF!+G62</f>
        <v>#REF!</v>
      </c>
      <c r="J62" s="257" t="e">
        <f>#REF!+I62</f>
        <v>#REF!</v>
      </c>
      <c r="K62" s="257" t="e">
        <f>#REF!+I62</f>
        <v>#REF!</v>
      </c>
      <c r="L62" s="257" t="e">
        <f>F62+J62</f>
        <v>#REF!</v>
      </c>
      <c r="M62" s="257" t="e">
        <f t="shared" si="32"/>
        <v>#REF!</v>
      </c>
      <c r="N62" s="257" t="e">
        <f t="shared" si="32"/>
        <v>#REF!</v>
      </c>
    </row>
    <row r="63" spans="1:14" ht="15" hidden="1" x14ac:dyDescent="0.2">
      <c r="A63" s="259" t="s">
        <v>299</v>
      </c>
      <c r="B63" s="252" t="s">
        <v>73</v>
      </c>
      <c r="C63" s="252" t="s">
        <v>233</v>
      </c>
      <c r="D63" s="252" t="s">
        <v>190</v>
      </c>
      <c r="E63" s="252" t="s">
        <v>83</v>
      </c>
      <c r="F63" s="252"/>
      <c r="G63" s="256"/>
      <c r="H63" s="256"/>
      <c r="I63" s="257" t="e">
        <f>I75+I76+I77+I78+I79+I80+I81</f>
        <v>#REF!</v>
      </c>
      <c r="J63" s="257" t="e">
        <f>J75+J76+J77+J78+J79+J80+J81</f>
        <v>#REF!</v>
      </c>
      <c r="K63" s="257" t="e">
        <f>K75+K76+K77+K78+K79+K80+K81</f>
        <v>#REF!</v>
      </c>
      <c r="L63" s="257" t="e">
        <f>L75+L76+L77+L78+L79+L80+L81</f>
        <v>#REF!</v>
      </c>
      <c r="M63" s="257" t="e">
        <f t="shared" ref="M63:N63" si="33">M75+M76+M77+M78+M79+M80+M81</f>
        <v>#REF!</v>
      </c>
      <c r="N63" s="257" t="e">
        <f t="shared" si="33"/>
        <v>#REF!</v>
      </c>
    </row>
    <row r="64" spans="1:14" ht="12.75" hidden="1" customHeight="1" x14ac:dyDescent="0.2">
      <c r="A64" s="259" t="s">
        <v>302</v>
      </c>
      <c r="B64" s="252" t="s">
        <v>73</v>
      </c>
      <c r="C64" s="252" t="s">
        <v>233</v>
      </c>
      <c r="D64" s="252" t="s">
        <v>190</v>
      </c>
      <c r="E64" s="252" t="s">
        <v>83</v>
      </c>
      <c r="F64" s="252" t="s">
        <v>303</v>
      </c>
      <c r="G64" s="256"/>
      <c r="H64" s="256"/>
      <c r="I64" s="257" t="e">
        <f>#REF!+G64</f>
        <v>#REF!</v>
      </c>
      <c r="J64" s="257" t="e">
        <f>#REF!+I64</f>
        <v>#REF!</v>
      </c>
      <c r="K64" s="257" t="e">
        <f>#REF!+I64</f>
        <v>#REF!</v>
      </c>
      <c r="L64" s="257" t="e">
        <f>F64+J64</f>
        <v>#REF!</v>
      </c>
      <c r="M64" s="257" t="e">
        <f t="shared" ref="M64:N65" si="34">G64+K64</f>
        <v>#REF!</v>
      </c>
      <c r="N64" s="257" t="e">
        <f t="shared" si="34"/>
        <v>#REF!</v>
      </c>
    </row>
    <row r="65" spans="1:14" ht="12.75" hidden="1" customHeight="1" x14ac:dyDescent="0.2">
      <c r="A65" s="259" t="s">
        <v>144</v>
      </c>
      <c r="B65" s="252" t="s">
        <v>73</v>
      </c>
      <c r="C65" s="252" t="s">
        <v>233</v>
      </c>
      <c r="D65" s="252" t="s">
        <v>190</v>
      </c>
      <c r="E65" s="252" t="s">
        <v>83</v>
      </c>
      <c r="F65" s="252" t="s">
        <v>145</v>
      </c>
      <c r="G65" s="256"/>
      <c r="H65" s="256"/>
      <c r="I65" s="257" t="e">
        <f>#REF!+G65</f>
        <v>#REF!</v>
      </c>
      <c r="J65" s="257" t="e">
        <f>#REF!+I65</f>
        <v>#REF!</v>
      </c>
      <c r="K65" s="257" t="e">
        <f>#REF!+I65</f>
        <v>#REF!</v>
      </c>
      <c r="L65" s="257" t="e">
        <f>F65+J65</f>
        <v>#REF!</v>
      </c>
      <c r="M65" s="257" t="e">
        <f t="shared" si="34"/>
        <v>#REF!</v>
      </c>
      <c r="N65" s="257" t="e">
        <f t="shared" si="34"/>
        <v>#REF!</v>
      </c>
    </row>
    <row r="66" spans="1:14" ht="25.5" hidden="1" customHeight="1" x14ac:dyDescent="0.2">
      <c r="A66" s="259" t="s">
        <v>147</v>
      </c>
      <c r="B66" s="252" t="s">
        <v>73</v>
      </c>
      <c r="C66" s="252" t="s">
        <v>233</v>
      </c>
      <c r="D66" s="252" t="s">
        <v>190</v>
      </c>
      <c r="E66" s="252" t="s">
        <v>83</v>
      </c>
      <c r="F66" s="252"/>
      <c r="G66" s="256"/>
      <c r="H66" s="256"/>
      <c r="I66" s="257" t="e">
        <f>I67</f>
        <v>#REF!</v>
      </c>
      <c r="J66" s="257" t="e">
        <f>J67</f>
        <v>#REF!</v>
      </c>
      <c r="K66" s="257" t="e">
        <f>K67</f>
        <v>#REF!</v>
      </c>
      <c r="L66" s="257" t="e">
        <f>L67</f>
        <v>#REF!</v>
      </c>
      <c r="M66" s="257" t="e">
        <f t="shared" ref="M66:N66" si="35">M67</f>
        <v>#REF!</v>
      </c>
      <c r="N66" s="257" t="e">
        <f t="shared" si="35"/>
        <v>#REF!</v>
      </c>
    </row>
    <row r="67" spans="1:14" ht="12.75" hidden="1" customHeight="1" x14ac:dyDescent="0.2">
      <c r="A67" s="259" t="s">
        <v>300</v>
      </c>
      <c r="B67" s="252" t="s">
        <v>73</v>
      </c>
      <c r="C67" s="252" t="s">
        <v>233</v>
      </c>
      <c r="D67" s="252" t="s">
        <v>190</v>
      </c>
      <c r="E67" s="252" t="s">
        <v>83</v>
      </c>
      <c r="F67" s="252" t="s">
        <v>301</v>
      </c>
      <c r="G67" s="256"/>
      <c r="H67" s="256"/>
      <c r="I67" s="257" t="e">
        <f>#REF!+G67</f>
        <v>#REF!</v>
      </c>
      <c r="J67" s="257" t="e">
        <f>#REF!+I67</f>
        <v>#REF!</v>
      </c>
      <c r="K67" s="257" t="e">
        <f>#REF!+I67</f>
        <v>#REF!</v>
      </c>
      <c r="L67" s="257" t="e">
        <f>F67+J67</f>
        <v>#REF!</v>
      </c>
      <c r="M67" s="257" t="e">
        <f t="shared" ref="M67:N67" si="36">G67+K67</f>
        <v>#REF!</v>
      </c>
      <c r="N67" s="257" t="e">
        <f t="shared" si="36"/>
        <v>#REF!</v>
      </c>
    </row>
    <row r="68" spans="1:14" ht="25.5" hidden="1" customHeight="1" x14ac:dyDescent="0.2">
      <c r="A68" s="259" t="s">
        <v>92</v>
      </c>
      <c r="B68" s="252" t="s">
        <v>73</v>
      </c>
      <c r="C68" s="252" t="s">
        <v>233</v>
      </c>
      <c r="D68" s="252" t="s">
        <v>190</v>
      </c>
      <c r="E68" s="252" t="s">
        <v>83</v>
      </c>
      <c r="F68" s="252"/>
      <c r="G68" s="256"/>
      <c r="H68" s="256"/>
      <c r="I68" s="257" t="e">
        <f>I69</f>
        <v>#REF!</v>
      </c>
      <c r="J68" s="257" t="e">
        <f>J69</f>
        <v>#REF!</v>
      </c>
      <c r="K68" s="257" t="e">
        <f>K69</f>
        <v>#REF!</v>
      </c>
      <c r="L68" s="257" t="e">
        <f>L69</f>
        <v>#REF!</v>
      </c>
      <c r="M68" s="257" t="e">
        <f t="shared" ref="M68:N68" si="37">M69</f>
        <v>#REF!</v>
      </c>
      <c r="N68" s="257" t="e">
        <f t="shared" si="37"/>
        <v>#REF!</v>
      </c>
    </row>
    <row r="69" spans="1:14" ht="12.75" hidden="1" customHeight="1" x14ac:dyDescent="0.2">
      <c r="A69" s="259" t="s">
        <v>299</v>
      </c>
      <c r="B69" s="252" t="s">
        <v>73</v>
      </c>
      <c r="C69" s="252" t="s">
        <v>233</v>
      </c>
      <c r="D69" s="252" t="s">
        <v>190</v>
      </c>
      <c r="E69" s="252" t="s">
        <v>83</v>
      </c>
      <c r="F69" s="252"/>
      <c r="G69" s="256"/>
      <c r="H69" s="256"/>
      <c r="I69" s="257" t="e">
        <f>I70+I73+I71+I72</f>
        <v>#REF!</v>
      </c>
      <c r="J69" s="257" t="e">
        <f>J70+J73+J71+J72</f>
        <v>#REF!</v>
      </c>
      <c r="K69" s="257" t="e">
        <f>K70+K73+K71+K72</f>
        <v>#REF!</v>
      </c>
      <c r="L69" s="257" t="e">
        <f>L70+L73+L71+L72</f>
        <v>#REF!</v>
      </c>
      <c r="M69" s="257" t="e">
        <f t="shared" ref="M69:N69" si="38">M70+M73+M71+M72</f>
        <v>#REF!</v>
      </c>
      <c r="N69" s="257" t="e">
        <f t="shared" si="38"/>
        <v>#REF!</v>
      </c>
    </row>
    <row r="70" spans="1:14" ht="12.75" hidden="1" customHeight="1" x14ac:dyDescent="0.2">
      <c r="A70" s="259" t="s">
        <v>300</v>
      </c>
      <c r="B70" s="252" t="s">
        <v>73</v>
      </c>
      <c r="C70" s="252" t="s">
        <v>233</v>
      </c>
      <c r="D70" s="252" t="s">
        <v>190</v>
      </c>
      <c r="E70" s="252" t="s">
        <v>83</v>
      </c>
      <c r="F70" s="252" t="s">
        <v>301</v>
      </c>
      <c r="G70" s="256"/>
      <c r="H70" s="256"/>
      <c r="I70" s="257" t="e">
        <f>#REF!+G70</f>
        <v>#REF!</v>
      </c>
      <c r="J70" s="257" t="e">
        <f>#REF!+I70</f>
        <v>#REF!</v>
      </c>
      <c r="K70" s="257" t="e">
        <f>#REF!+I70</f>
        <v>#REF!</v>
      </c>
      <c r="L70" s="257" t="e">
        <f t="shared" ref="L70:L72" si="39">F70+J70</f>
        <v>#REF!</v>
      </c>
      <c r="M70" s="257" t="e">
        <f t="shared" ref="M70:M72" si="40">G70+K70</f>
        <v>#REF!</v>
      </c>
      <c r="N70" s="257" t="e">
        <f t="shared" ref="N70:N72" si="41">H70+L70</f>
        <v>#REF!</v>
      </c>
    </row>
    <row r="71" spans="1:14" ht="12.75" hidden="1" customHeight="1" x14ac:dyDescent="0.2">
      <c r="A71" s="259" t="s">
        <v>302</v>
      </c>
      <c r="B71" s="252" t="s">
        <v>73</v>
      </c>
      <c r="C71" s="252" t="s">
        <v>233</v>
      </c>
      <c r="D71" s="252" t="s">
        <v>190</v>
      </c>
      <c r="E71" s="252" t="s">
        <v>83</v>
      </c>
      <c r="F71" s="252" t="s">
        <v>303</v>
      </c>
      <c r="G71" s="256"/>
      <c r="H71" s="256"/>
      <c r="I71" s="257" t="e">
        <f>#REF!+G71</f>
        <v>#REF!</v>
      </c>
      <c r="J71" s="257" t="e">
        <f>#REF!+I71</f>
        <v>#REF!</v>
      </c>
      <c r="K71" s="257" t="e">
        <f>#REF!+I71</f>
        <v>#REF!</v>
      </c>
      <c r="L71" s="257" t="e">
        <f t="shared" si="39"/>
        <v>#REF!</v>
      </c>
      <c r="M71" s="257" t="e">
        <f t="shared" si="40"/>
        <v>#REF!</v>
      </c>
      <c r="N71" s="257" t="e">
        <f t="shared" si="41"/>
        <v>#REF!</v>
      </c>
    </row>
    <row r="72" spans="1:14" ht="12.75" hidden="1" customHeight="1" x14ac:dyDescent="0.2">
      <c r="A72" s="259" t="s">
        <v>144</v>
      </c>
      <c r="B72" s="252" t="s">
        <v>73</v>
      </c>
      <c r="C72" s="252" t="s">
        <v>233</v>
      </c>
      <c r="D72" s="252" t="s">
        <v>190</v>
      </c>
      <c r="E72" s="252" t="s">
        <v>83</v>
      </c>
      <c r="F72" s="252" t="s">
        <v>145</v>
      </c>
      <c r="G72" s="256"/>
      <c r="H72" s="256"/>
      <c r="I72" s="257" t="e">
        <f>#REF!+G72</f>
        <v>#REF!</v>
      </c>
      <c r="J72" s="257" t="e">
        <f>#REF!+I72</f>
        <v>#REF!</v>
      </c>
      <c r="K72" s="257" t="e">
        <f>#REF!+I72</f>
        <v>#REF!</v>
      </c>
      <c r="L72" s="257" t="e">
        <f t="shared" si="39"/>
        <v>#REF!</v>
      </c>
      <c r="M72" s="257" t="e">
        <f t="shared" si="40"/>
        <v>#REF!</v>
      </c>
      <c r="N72" s="257" t="e">
        <f t="shared" si="41"/>
        <v>#REF!</v>
      </c>
    </row>
    <row r="73" spans="1:14" ht="25.5" hidden="1" customHeight="1" x14ac:dyDescent="0.2">
      <c r="A73" s="259" t="s">
        <v>147</v>
      </c>
      <c r="B73" s="252" t="s">
        <v>73</v>
      </c>
      <c r="C73" s="252" t="s">
        <v>233</v>
      </c>
      <c r="D73" s="252" t="s">
        <v>190</v>
      </c>
      <c r="E73" s="252" t="s">
        <v>83</v>
      </c>
      <c r="F73" s="252"/>
      <c r="G73" s="256"/>
      <c r="H73" s="256"/>
      <c r="I73" s="257" t="e">
        <f>I74</f>
        <v>#REF!</v>
      </c>
      <c r="J73" s="257" t="e">
        <f>J74</f>
        <v>#REF!</v>
      </c>
      <c r="K73" s="257" t="e">
        <f>K74</f>
        <v>#REF!</v>
      </c>
      <c r="L73" s="257" t="e">
        <f>L74</f>
        <v>#REF!</v>
      </c>
      <c r="M73" s="257" t="e">
        <f t="shared" ref="M73:N73" si="42">M74</f>
        <v>#REF!</v>
      </c>
      <c r="N73" s="257" t="e">
        <f t="shared" si="42"/>
        <v>#REF!</v>
      </c>
    </row>
    <row r="74" spans="1:14" ht="12.75" hidden="1" customHeight="1" x14ac:dyDescent="0.2">
      <c r="A74" s="259" t="s">
        <v>300</v>
      </c>
      <c r="B74" s="252" t="s">
        <v>73</v>
      </c>
      <c r="C74" s="252" t="s">
        <v>233</v>
      </c>
      <c r="D74" s="252" t="s">
        <v>190</v>
      </c>
      <c r="E74" s="252" t="s">
        <v>83</v>
      </c>
      <c r="F74" s="252" t="s">
        <v>301</v>
      </c>
      <c r="G74" s="256"/>
      <c r="H74" s="256"/>
      <c r="I74" s="257" t="e">
        <f>#REF!+G74</f>
        <v>#REF!</v>
      </c>
      <c r="J74" s="257" t="e">
        <f>#REF!+I74</f>
        <v>#REF!</v>
      </c>
      <c r="K74" s="257" t="e">
        <f>#REF!+I74</f>
        <v>#REF!</v>
      </c>
      <c r="L74" s="257" t="e">
        <f>F74+J74</f>
        <v>#REF!</v>
      </c>
      <c r="M74" s="257" t="e">
        <f t="shared" ref="M74:N74" si="43">G74+K74</f>
        <v>#REF!</v>
      </c>
      <c r="N74" s="257" t="e">
        <f t="shared" si="43"/>
        <v>#REF!</v>
      </c>
    </row>
    <row r="75" spans="1:14" ht="15" hidden="1" x14ac:dyDescent="0.2">
      <c r="A75" s="259" t="s">
        <v>95</v>
      </c>
      <c r="B75" s="252" t="s">
        <v>73</v>
      </c>
      <c r="C75" s="252" t="s">
        <v>233</v>
      </c>
      <c r="D75" s="252" t="s">
        <v>190</v>
      </c>
      <c r="E75" s="252" t="s">
        <v>83</v>
      </c>
      <c r="F75" s="252" t="s">
        <v>96</v>
      </c>
      <c r="G75" s="256"/>
      <c r="H75" s="256"/>
      <c r="I75" s="257">
        <v>-6385.04</v>
      </c>
      <c r="J75" s="257">
        <f>G75+I75</f>
        <v>-6385.04</v>
      </c>
      <c r="K75" s="257">
        <v>-6385.04</v>
      </c>
      <c r="L75" s="257">
        <f>H75+J75</f>
        <v>-6385.04</v>
      </c>
      <c r="M75" s="257">
        <f t="shared" ref="M75:N75" si="44">I75+K75</f>
        <v>-12770.08</v>
      </c>
      <c r="N75" s="257">
        <f t="shared" si="44"/>
        <v>-12770.08</v>
      </c>
    </row>
    <row r="76" spans="1:14" ht="12.75" hidden="1" customHeight="1" x14ac:dyDescent="0.2">
      <c r="A76" s="259" t="s">
        <v>97</v>
      </c>
      <c r="B76" s="252" t="s">
        <v>73</v>
      </c>
      <c r="C76" s="252" t="s">
        <v>233</v>
      </c>
      <c r="D76" s="252" t="s">
        <v>190</v>
      </c>
      <c r="E76" s="252" t="s">
        <v>83</v>
      </c>
      <c r="F76" s="252" t="s">
        <v>98</v>
      </c>
      <c r="G76" s="256"/>
      <c r="H76" s="256"/>
      <c r="I76" s="257" t="e">
        <f>#REF!+G76</f>
        <v>#REF!</v>
      </c>
      <c r="J76" s="257" t="e">
        <f>#REF!+I76</f>
        <v>#REF!</v>
      </c>
      <c r="K76" s="257" t="e">
        <f>#REF!+I76</f>
        <v>#REF!</v>
      </c>
      <c r="L76" s="257" t="e">
        <f t="shared" ref="L76:L78" si="45">F76+J76</f>
        <v>#REF!</v>
      </c>
      <c r="M76" s="257" t="e">
        <f t="shared" ref="M76:M78" si="46">G76+K76</f>
        <v>#REF!</v>
      </c>
      <c r="N76" s="257" t="e">
        <f t="shared" ref="N76:N78" si="47">H76+L76</f>
        <v>#REF!</v>
      </c>
    </row>
    <row r="77" spans="1:14" ht="25.5" hidden="1" customHeight="1" x14ac:dyDescent="0.2">
      <c r="A77" s="259" t="s">
        <v>99</v>
      </c>
      <c r="B77" s="252" t="s">
        <v>73</v>
      </c>
      <c r="C77" s="252" t="s">
        <v>233</v>
      </c>
      <c r="D77" s="252" t="s">
        <v>190</v>
      </c>
      <c r="E77" s="252" t="s">
        <v>83</v>
      </c>
      <c r="F77" s="252" t="s">
        <v>100</v>
      </c>
      <c r="G77" s="256"/>
      <c r="H77" s="256"/>
      <c r="I77" s="257" t="e">
        <f>#REF!+G77</f>
        <v>#REF!</v>
      </c>
      <c r="J77" s="257" t="e">
        <f>#REF!+I77</f>
        <v>#REF!</v>
      </c>
      <c r="K77" s="257" t="e">
        <f>#REF!+I77</f>
        <v>#REF!</v>
      </c>
      <c r="L77" s="257" t="e">
        <f t="shared" si="45"/>
        <v>#REF!</v>
      </c>
      <c r="M77" s="257" t="e">
        <f t="shared" si="46"/>
        <v>#REF!</v>
      </c>
      <c r="N77" s="257" t="e">
        <f t="shared" si="47"/>
        <v>#REF!</v>
      </c>
    </row>
    <row r="78" spans="1:14" ht="25.5" hidden="1" customHeight="1" x14ac:dyDescent="0.2">
      <c r="A78" s="259" t="s">
        <v>101</v>
      </c>
      <c r="B78" s="252" t="s">
        <v>73</v>
      </c>
      <c r="C78" s="252" t="s">
        <v>233</v>
      </c>
      <c r="D78" s="252" t="s">
        <v>190</v>
      </c>
      <c r="E78" s="252" t="s">
        <v>83</v>
      </c>
      <c r="F78" s="252" t="s">
        <v>102</v>
      </c>
      <c r="G78" s="256"/>
      <c r="H78" s="256"/>
      <c r="I78" s="257" t="e">
        <f>#REF!+G78</f>
        <v>#REF!</v>
      </c>
      <c r="J78" s="257" t="e">
        <f>#REF!+I78</f>
        <v>#REF!</v>
      </c>
      <c r="K78" s="257" t="e">
        <f>#REF!+I78</f>
        <v>#REF!</v>
      </c>
      <c r="L78" s="257" t="e">
        <f t="shared" si="45"/>
        <v>#REF!</v>
      </c>
      <c r="M78" s="257" t="e">
        <f t="shared" si="46"/>
        <v>#REF!</v>
      </c>
      <c r="N78" s="257" t="e">
        <f t="shared" si="47"/>
        <v>#REF!</v>
      </c>
    </row>
    <row r="79" spans="1:14" ht="18.75" hidden="1" customHeight="1" x14ac:dyDescent="0.2">
      <c r="A79" s="259" t="s">
        <v>93</v>
      </c>
      <c r="B79" s="252" t="s">
        <v>73</v>
      </c>
      <c r="C79" s="252" t="s">
        <v>233</v>
      </c>
      <c r="D79" s="252" t="s">
        <v>190</v>
      </c>
      <c r="E79" s="252" t="s">
        <v>83</v>
      </c>
      <c r="F79" s="252" t="s">
        <v>94</v>
      </c>
      <c r="G79" s="256"/>
      <c r="H79" s="256"/>
      <c r="I79" s="257">
        <v>-684.96</v>
      </c>
      <c r="J79" s="257">
        <f>G79+I79</f>
        <v>-684.96</v>
      </c>
      <c r="K79" s="257">
        <v>-684.96</v>
      </c>
      <c r="L79" s="257">
        <f t="shared" ref="L79:L81" si="48">H79+J79</f>
        <v>-684.96</v>
      </c>
      <c r="M79" s="257">
        <f t="shared" ref="M79:M81" si="49">I79+K79</f>
        <v>-1369.92</v>
      </c>
      <c r="N79" s="257">
        <f t="shared" ref="N79:N81" si="50">J79+L79</f>
        <v>-1369.92</v>
      </c>
    </row>
    <row r="80" spans="1:14" ht="15" hidden="1" x14ac:dyDescent="0.2">
      <c r="A80" s="259" t="s">
        <v>103</v>
      </c>
      <c r="B80" s="252" t="s">
        <v>73</v>
      </c>
      <c r="C80" s="252" t="s">
        <v>233</v>
      </c>
      <c r="D80" s="252" t="s">
        <v>190</v>
      </c>
      <c r="E80" s="252" t="s">
        <v>83</v>
      </c>
      <c r="F80" s="252" t="s">
        <v>104</v>
      </c>
      <c r="G80" s="256"/>
      <c r="H80" s="256"/>
      <c r="I80" s="257">
        <v>-25</v>
      </c>
      <c r="J80" s="257">
        <f>G80+I80</f>
        <v>-25</v>
      </c>
      <c r="K80" s="257">
        <v>-25</v>
      </c>
      <c r="L80" s="257">
        <f t="shared" si="48"/>
        <v>-25</v>
      </c>
      <c r="M80" s="257">
        <f t="shared" si="49"/>
        <v>-50</v>
      </c>
      <c r="N80" s="257">
        <f t="shared" si="50"/>
        <v>-50</v>
      </c>
    </row>
    <row r="81" spans="1:14" ht="15" hidden="1" x14ac:dyDescent="0.2">
      <c r="A81" s="259" t="s">
        <v>105</v>
      </c>
      <c r="B81" s="252" t="s">
        <v>73</v>
      </c>
      <c r="C81" s="252" t="s">
        <v>233</v>
      </c>
      <c r="D81" s="252" t="s">
        <v>190</v>
      </c>
      <c r="E81" s="252" t="s">
        <v>83</v>
      </c>
      <c r="F81" s="252" t="s">
        <v>106</v>
      </c>
      <c r="G81" s="256"/>
      <c r="H81" s="256"/>
      <c r="I81" s="257" t="e">
        <f>#REF!+G81</f>
        <v>#REF!</v>
      </c>
      <c r="J81" s="257" t="e">
        <f>G81+I81</f>
        <v>#REF!</v>
      </c>
      <c r="K81" s="257" t="e">
        <f>H81+I81</f>
        <v>#REF!</v>
      </c>
      <c r="L81" s="257" t="e">
        <f t="shared" si="48"/>
        <v>#REF!</v>
      </c>
      <c r="M81" s="257" t="e">
        <f t="shared" si="49"/>
        <v>#REF!</v>
      </c>
      <c r="N81" s="257" t="e">
        <f t="shared" si="50"/>
        <v>#REF!</v>
      </c>
    </row>
    <row r="82" spans="1:14" ht="15" hidden="1" x14ac:dyDescent="0.2">
      <c r="A82" s="259" t="s">
        <v>107</v>
      </c>
      <c r="B82" s="252" t="s">
        <v>73</v>
      </c>
      <c r="C82" s="252" t="s">
        <v>233</v>
      </c>
      <c r="D82" s="252" t="s">
        <v>190</v>
      </c>
      <c r="E82" s="252" t="s">
        <v>108</v>
      </c>
      <c r="F82" s="252"/>
      <c r="G82" s="256"/>
      <c r="H82" s="256"/>
      <c r="I82" s="257" t="e">
        <f>I83</f>
        <v>#REF!</v>
      </c>
      <c r="J82" s="257" t="e">
        <f>J83</f>
        <v>#REF!</v>
      </c>
      <c r="K82" s="257" t="e">
        <f>K83</f>
        <v>#REF!</v>
      </c>
      <c r="L82" s="257" t="e">
        <f>L83</f>
        <v>#REF!</v>
      </c>
      <c r="M82" s="257" t="e">
        <f t="shared" ref="M82:N82" si="51">M83</f>
        <v>#REF!</v>
      </c>
      <c r="N82" s="257" t="e">
        <f t="shared" si="51"/>
        <v>#REF!</v>
      </c>
    </row>
    <row r="83" spans="1:14" ht="15" hidden="1" x14ac:dyDescent="0.2">
      <c r="A83" s="259" t="s">
        <v>299</v>
      </c>
      <c r="B83" s="252" t="s">
        <v>73</v>
      </c>
      <c r="C83" s="252" t="s">
        <v>233</v>
      </c>
      <c r="D83" s="252" t="s">
        <v>190</v>
      </c>
      <c r="E83" s="252" t="s">
        <v>109</v>
      </c>
      <c r="F83" s="252"/>
      <c r="G83" s="256"/>
      <c r="H83" s="256"/>
      <c r="I83" s="257" t="e">
        <f>I84+I87+I85+I86+I96+I97</f>
        <v>#REF!</v>
      </c>
      <c r="J83" s="257" t="e">
        <f>J84+J87+J85+J86+J96+J97</f>
        <v>#REF!</v>
      </c>
      <c r="K83" s="257" t="e">
        <f>K84+K87+K85+K86+K96+K97</f>
        <v>#REF!</v>
      </c>
      <c r="L83" s="257" t="e">
        <f>L84+L87+L85+L86+L96+L97</f>
        <v>#REF!</v>
      </c>
      <c r="M83" s="257" t="e">
        <f t="shared" ref="M83:N83" si="52">M84+M87+M85+M86+M96+M97</f>
        <v>#REF!</v>
      </c>
      <c r="N83" s="257" t="e">
        <f t="shared" si="52"/>
        <v>#REF!</v>
      </c>
    </row>
    <row r="84" spans="1:14" ht="12.75" hidden="1" customHeight="1" x14ac:dyDescent="0.2">
      <c r="A84" s="259" t="s">
        <v>300</v>
      </c>
      <c r="B84" s="252" t="s">
        <v>73</v>
      </c>
      <c r="C84" s="252" t="s">
        <v>233</v>
      </c>
      <c r="D84" s="252" t="s">
        <v>190</v>
      </c>
      <c r="E84" s="252" t="s">
        <v>109</v>
      </c>
      <c r="F84" s="252" t="s">
        <v>301</v>
      </c>
      <c r="G84" s="256"/>
      <c r="H84" s="256"/>
      <c r="I84" s="257" t="e">
        <f>#REF!+G84</f>
        <v>#REF!</v>
      </c>
      <c r="J84" s="257" t="e">
        <f>G84+I84</f>
        <v>#REF!</v>
      </c>
      <c r="K84" s="257" t="e">
        <f>H84+I84</f>
        <v>#REF!</v>
      </c>
      <c r="L84" s="257" t="e">
        <f>H84+J84</f>
        <v>#REF!</v>
      </c>
      <c r="M84" s="257" t="e">
        <f t="shared" ref="M84:N84" si="53">I84+K84</f>
        <v>#REF!</v>
      </c>
      <c r="N84" s="257" t="e">
        <f t="shared" si="53"/>
        <v>#REF!</v>
      </c>
    </row>
    <row r="85" spans="1:14" ht="12.75" hidden="1" customHeight="1" x14ac:dyDescent="0.2">
      <c r="A85" s="259" t="s">
        <v>302</v>
      </c>
      <c r="B85" s="252" t="s">
        <v>73</v>
      </c>
      <c r="C85" s="252" t="s">
        <v>233</v>
      </c>
      <c r="D85" s="252" t="s">
        <v>190</v>
      </c>
      <c r="E85" s="252" t="s">
        <v>109</v>
      </c>
      <c r="F85" s="252" t="s">
        <v>303</v>
      </c>
      <c r="G85" s="256"/>
      <c r="H85" s="256"/>
      <c r="I85" s="257" t="e">
        <f>#REF!+G85</f>
        <v>#REF!</v>
      </c>
      <c r="J85" s="257" t="e">
        <f>#REF!+I85</f>
        <v>#REF!</v>
      </c>
      <c r="K85" s="257" t="e">
        <f>#REF!+I85</f>
        <v>#REF!</v>
      </c>
      <c r="L85" s="257" t="e">
        <f>F85+J85</f>
        <v>#REF!</v>
      </c>
      <c r="M85" s="257" t="e">
        <f t="shared" ref="M85:N86" si="54">G85+K85</f>
        <v>#REF!</v>
      </c>
      <c r="N85" s="257" t="e">
        <f t="shared" si="54"/>
        <v>#REF!</v>
      </c>
    </row>
    <row r="86" spans="1:14" ht="12.75" hidden="1" customHeight="1" x14ac:dyDescent="0.2">
      <c r="A86" s="259" t="s">
        <v>144</v>
      </c>
      <c r="B86" s="252" t="s">
        <v>73</v>
      </c>
      <c r="C86" s="252" t="s">
        <v>233</v>
      </c>
      <c r="D86" s="252" t="s">
        <v>190</v>
      </c>
      <c r="E86" s="252" t="s">
        <v>109</v>
      </c>
      <c r="F86" s="252" t="s">
        <v>145</v>
      </c>
      <c r="G86" s="256"/>
      <c r="H86" s="256"/>
      <c r="I86" s="257" t="e">
        <f>#REF!+G86</f>
        <v>#REF!</v>
      </c>
      <c r="J86" s="257" t="e">
        <f>#REF!+I86</f>
        <v>#REF!</v>
      </c>
      <c r="K86" s="257" t="e">
        <f>#REF!+I86</f>
        <v>#REF!</v>
      </c>
      <c r="L86" s="257" t="e">
        <f>F86+J86</f>
        <v>#REF!</v>
      </c>
      <c r="M86" s="257" t="e">
        <f t="shared" si="54"/>
        <v>#REF!</v>
      </c>
      <c r="N86" s="257" t="e">
        <f t="shared" si="54"/>
        <v>#REF!</v>
      </c>
    </row>
    <row r="87" spans="1:14" ht="25.5" hidden="1" customHeight="1" x14ac:dyDescent="0.2">
      <c r="A87" s="259" t="s">
        <v>147</v>
      </c>
      <c r="B87" s="252" t="s">
        <v>73</v>
      </c>
      <c r="C87" s="252" t="s">
        <v>233</v>
      </c>
      <c r="D87" s="252" t="s">
        <v>190</v>
      </c>
      <c r="E87" s="252" t="s">
        <v>110</v>
      </c>
      <c r="F87" s="252"/>
      <c r="G87" s="256"/>
      <c r="H87" s="256"/>
      <c r="I87" s="257" t="e">
        <f>I88</f>
        <v>#REF!</v>
      </c>
      <c r="J87" s="257" t="e">
        <f>J88</f>
        <v>#REF!</v>
      </c>
      <c r="K87" s="257" t="e">
        <f>K88</f>
        <v>#REF!</v>
      </c>
      <c r="L87" s="257" t="e">
        <f>L88</f>
        <v>#REF!</v>
      </c>
      <c r="M87" s="257" t="e">
        <f t="shared" ref="M87:N87" si="55">M88</f>
        <v>#REF!</v>
      </c>
      <c r="N87" s="257" t="e">
        <f t="shared" si="55"/>
        <v>#REF!</v>
      </c>
    </row>
    <row r="88" spans="1:14" ht="12.75" hidden="1" customHeight="1" x14ac:dyDescent="0.2">
      <c r="A88" s="259" t="s">
        <v>300</v>
      </c>
      <c r="B88" s="252" t="s">
        <v>73</v>
      </c>
      <c r="C88" s="252" t="s">
        <v>233</v>
      </c>
      <c r="D88" s="252" t="s">
        <v>190</v>
      </c>
      <c r="E88" s="252" t="s">
        <v>110</v>
      </c>
      <c r="F88" s="252" t="s">
        <v>301</v>
      </c>
      <c r="G88" s="256"/>
      <c r="H88" s="256"/>
      <c r="I88" s="257" t="e">
        <f>#REF!+G88</f>
        <v>#REF!</v>
      </c>
      <c r="J88" s="257" t="e">
        <f>#REF!+I88</f>
        <v>#REF!</v>
      </c>
      <c r="K88" s="257" t="e">
        <f>#REF!+I88</f>
        <v>#REF!</v>
      </c>
      <c r="L88" s="257" t="e">
        <f>F88+J88</f>
        <v>#REF!</v>
      </c>
      <c r="M88" s="257" t="e">
        <f t="shared" ref="M88:N88" si="56">G88+K88</f>
        <v>#REF!</v>
      </c>
      <c r="N88" s="257" t="e">
        <f t="shared" si="56"/>
        <v>#REF!</v>
      </c>
    </row>
    <row r="89" spans="1:14" ht="25.5" hidden="1" customHeight="1" x14ac:dyDescent="0.2">
      <c r="A89" s="259" t="s">
        <v>92</v>
      </c>
      <c r="B89" s="252" t="s">
        <v>73</v>
      </c>
      <c r="C89" s="252" t="s">
        <v>233</v>
      </c>
      <c r="D89" s="252" t="s">
        <v>190</v>
      </c>
      <c r="E89" s="252" t="s">
        <v>111</v>
      </c>
      <c r="F89" s="252"/>
      <c r="G89" s="256"/>
      <c r="H89" s="256"/>
      <c r="I89" s="257" t="e">
        <f>I90</f>
        <v>#REF!</v>
      </c>
      <c r="J89" s="257" t="e">
        <f>J90</f>
        <v>#REF!</v>
      </c>
      <c r="K89" s="257" t="e">
        <f>K90</f>
        <v>#REF!</v>
      </c>
      <c r="L89" s="257" t="e">
        <f>L90</f>
        <v>#REF!</v>
      </c>
      <c r="M89" s="257" t="e">
        <f t="shared" ref="M89:N89" si="57">M90</f>
        <v>#REF!</v>
      </c>
      <c r="N89" s="257" t="e">
        <f t="shared" si="57"/>
        <v>#REF!</v>
      </c>
    </row>
    <row r="90" spans="1:14" ht="12.75" hidden="1" customHeight="1" x14ac:dyDescent="0.2">
      <c r="A90" s="259" t="s">
        <v>299</v>
      </c>
      <c r="B90" s="252" t="s">
        <v>73</v>
      </c>
      <c r="C90" s="252" t="s">
        <v>233</v>
      </c>
      <c r="D90" s="252" t="s">
        <v>190</v>
      </c>
      <c r="E90" s="252" t="s">
        <v>112</v>
      </c>
      <c r="F90" s="252"/>
      <c r="G90" s="256"/>
      <c r="H90" s="256"/>
      <c r="I90" s="257" t="e">
        <f>I91+I94+I92+I93</f>
        <v>#REF!</v>
      </c>
      <c r="J90" s="257" t="e">
        <f>J91+J94+J92+J93</f>
        <v>#REF!</v>
      </c>
      <c r="K90" s="257" t="e">
        <f>K91+K94+K92+K93</f>
        <v>#REF!</v>
      </c>
      <c r="L90" s="257" t="e">
        <f>L91+L94+L92+L93</f>
        <v>#REF!</v>
      </c>
      <c r="M90" s="257" t="e">
        <f t="shared" ref="M90:N90" si="58">M91+M94+M92+M93</f>
        <v>#REF!</v>
      </c>
      <c r="N90" s="257" t="e">
        <f t="shared" si="58"/>
        <v>#REF!</v>
      </c>
    </row>
    <row r="91" spans="1:14" ht="12.75" hidden="1" customHeight="1" x14ac:dyDescent="0.2">
      <c r="A91" s="259" t="s">
        <v>300</v>
      </c>
      <c r="B91" s="252" t="s">
        <v>73</v>
      </c>
      <c r="C91" s="252" t="s">
        <v>233</v>
      </c>
      <c r="D91" s="252" t="s">
        <v>190</v>
      </c>
      <c r="E91" s="252" t="s">
        <v>112</v>
      </c>
      <c r="F91" s="252" t="s">
        <v>301</v>
      </c>
      <c r="G91" s="256"/>
      <c r="H91" s="256"/>
      <c r="I91" s="257" t="e">
        <f>#REF!+G91</f>
        <v>#REF!</v>
      </c>
      <c r="J91" s="257" t="e">
        <f>#REF!+I91</f>
        <v>#REF!</v>
      </c>
      <c r="K91" s="257" t="e">
        <f>#REF!+I91</f>
        <v>#REF!</v>
      </c>
      <c r="L91" s="257" t="e">
        <f t="shared" ref="L91:L93" si="59">F91+J91</f>
        <v>#REF!</v>
      </c>
      <c r="M91" s="257" t="e">
        <f t="shared" ref="M91:M93" si="60">G91+K91</f>
        <v>#REF!</v>
      </c>
      <c r="N91" s="257" t="e">
        <f t="shared" ref="N91:N93" si="61">H91+L91</f>
        <v>#REF!</v>
      </c>
    </row>
    <row r="92" spans="1:14" ht="12.75" hidden="1" customHeight="1" x14ac:dyDescent="0.2">
      <c r="A92" s="259" t="s">
        <v>302</v>
      </c>
      <c r="B92" s="252" t="s">
        <v>73</v>
      </c>
      <c r="C92" s="252" t="s">
        <v>233</v>
      </c>
      <c r="D92" s="252" t="s">
        <v>190</v>
      </c>
      <c r="E92" s="252" t="s">
        <v>112</v>
      </c>
      <c r="F92" s="252" t="s">
        <v>303</v>
      </c>
      <c r="G92" s="256"/>
      <c r="H92" s="256"/>
      <c r="I92" s="257" t="e">
        <f>#REF!+G92</f>
        <v>#REF!</v>
      </c>
      <c r="J92" s="257" t="e">
        <f>#REF!+I92</f>
        <v>#REF!</v>
      </c>
      <c r="K92" s="257" t="e">
        <f>#REF!+I92</f>
        <v>#REF!</v>
      </c>
      <c r="L92" s="257" t="e">
        <f t="shared" si="59"/>
        <v>#REF!</v>
      </c>
      <c r="M92" s="257" t="e">
        <f t="shared" si="60"/>
        <v>#REF!</v>
      </c>
      <c r="N92" s="257" t="e">
        <f t="shared" si="61"/>
        <v>#REF!</v>
      </c>
    </row>
    <row r="93" spans="1:14" ht="12.75" hidden="1" customHeight="1" x14ac:dyDescent="0.2">
      <c r="A93" s="259" t="s">
        <v>144</v>
      </c>
      <c r="B93" s="252" t="s">
        <v>73</v>
      </c>
      <c r="C93" s="252" t="s">
        <v>233</v>
      </c>
      <c r="D93" s="252" t="s">
        <v>190</v>
      </c>
      <c r="E93" s="252" t="s">
        <v>112</v>
      </c>
      <c r="F93" s="252" t="s">
        <v>145</v>
      </c>
      <c r="G93" s="256"/>
      <c r="H93" s="256"/>
      <c r="I93" s="257" t="e">
        <f>#REF!+G93</f>
        <v>#REF!</v>
      </c>
      <c r="J93" s="257" t="e">
        <f>#REF!+I93</f>
        <v>#REF!</v>
      </c>
      <c r="K93" s="257" t="e">
        <f>#REF!+I93</f>
        <v>#REF!</v>
      </c>
      <c r="L93" s="257" t="e">
        <f t="shared" si="59"/>
        <v>#REF!</v>
      </c>
      <c r="M93" s="257" t="e">
        <f t="shared" si="60"/>
        <v>#REF!</v>
      </c>
      <c r="N93" s="257" t="e">
        <f t="shared" si="61"/>
        <v>#REF!</v>
      </c>
    </row>
    <row r="94" spans="1:14" ht="25.5" hidden="1" customHeight="1" x14ac:dyDescent="0.2">
      <c r="A94" s="259" t="s">
        <v>147</v>
      </c>
      <c r="B94" s="252" t="s">
        <v>73</v>
      </c>
      <c r="C94" s="252" t="s">
        <v>233</v>
      </c>
      <c r="D94" s="252" t="s">
        <v>190</v>
      </c>
      <c r="E94" s="252" t="s">
        <v>113</v>
      </c>
      <c r="F94" s="252"/>
      <c r="G94" s="256"/>
      <c r="H94" s="256"/>
      <c r="I94" s="257" t="e">
        <f>I95</f>
        <v>#REF!</v>
      </c>
      <c r="J94" s="257" t="e">
        <f>J95</f>
        <v>#REF!</v>
      </c>
      <c r="K94" s="257" t="e">
        <f>K95</f>
        <v>#REF!</v>
      </c>
      <c r="L94" s="257" t="e">
        <f>L95</f>
        <v>#REF!</v>
      </c>
      <c r="M94" s="257" t="e">
        <f t="shared" ref="M94:N94" si="62">M95</f>
        <v>#REF!</v>
      </c>
      <c r="N94" s="257" t="e">
        <f t="shared" si="62"/>
        <v>#REF!</v>
      </c>
    </row>
    <row r="95" spans="1:14" ht="12.75" hidden="1" customHeight="1" x14ac:dyDescent="0.2">
      <c r="A95" s="259" t="s">
        <v>300</v>
      </c>
      <c r="B95" s="252" t="s">
        <v>73</v>
      </c>
      <c r="C95" s="252" t="s">
        <v>233</v>
      </c>
      <c r="D95" s="252" t="s">
        <v>190</v>
      </c>
      <c r="E95" s="252" t="s">
        <v>113</v>
      </c>
      <c r="F95" s="252" t="s">
        <v>301</v>
      </c>
      <c r="G95" s="256"/>
      <c r="H95" s="256"/>
      <c r="I95" s="257" t="e">
        <f>#REF!+G95</f>
        <v>#REF!</v>
      </c>
      <c r="J95" s="257" t="e">
        <f>#REF!+I95</f>
        <v>#REF!</v>
      </c>
      <c r="K95" s="257" t="e">
        <f>#REF!+I95</f>
        <v>#REF!</v>
      </c>
      <c r="L95" s="257" t="e">
        <f>F95+J95</f>
        <v>#REF!</v>
      </c>
      <c r="M95" s="257" t="e">
        <f t="shared" ref="M95:N95" si="63">G95+K95</f>
        <v>#REF!</v>
      </c>
      <c r="N95" s="257" t="e">
        <f t="shared" si="63"/>
        <v>#REF!</v>
      </c>
    </row>
    <row r="96" spans="1:14" ht="30" hidden="1" x14ac:dyDescent="0.2">
      <c r="A96" s="259" t="s">
        <v>76</v>
      </c>
      <c r="B96" s="252" t="s">
        <v>73</v>
      </c>
      <c r="C96" s="252" t="s">
        <v>233</v>
      </c>
      <c r="D96" s="252" t="s">
        <v>190</v>
      </c>
      <c r="E96" s="252" t="s">
        <v>109</v>
      </c>
      <c r="F96" s="252" t="s">
        <v>77</v>
      </c>
      <c r="G96" s="256"/>
      <c r="H96" s="256"/>
      <c r="I96" s="257" t="e">
        <f>#REF!+G96</f>
        <v>#REF!</v>
      </c>
      <c r="J96" s="257" t="e">
        <f>G96+I96</f>
        <v>#REF!</v>
      </c>
      <c r="K96" s="257" t="e">
        <f>H96+I96</f>
        <v>#REF!</v>
      </c>
      <c r="L96" s="257" t="e">
        <f>H96+J96</f>
        <v>#REF!</v>
      </c>
      <c r="M96" s="257" t="e">
        <f t="shared" ref="M96:N96" si="64">I96+K96</f>
        <v>#REF!</v>
      </c>
      <c r="N96" s="257" t="e">
        <f t="shared" si="64"/>
        <v>#REF!</v>
      </c>
    </row>
    <row r="97" spans="1:14" ht="12.75" hidden="1" customHeight="1" x14ac:dyDescent="0.2">
      <c r="A97" s="259" t="s">
        <v>78</v>
      </c>
      <c r="B97" s="252" t="s">
        <v>73</v>
      </c>
      <c r="C97" s="252" t="s">
        <v>233</v>
      </c>
      <c r="D97" s="252" t="s">
        <v>190</v>
      </c>
      <c r="E97" s="252" t="s">
        <v>109</v>
      </c>
      <c r="F97" s="252" t="s">
        <v>79</v>
      </c>
      <c r="G97" s="256"/>
      <c r="H97" s="256"/>
      <c r="I97" s="257" t="e">
        <f>#REF!+G97</f>
        <v>#REF!</v>
      </c>
      <c r="J97" s="257" t="e">
        <f>#REF!+I97</f>
        <v>#REF!</v>
      </c>
      <c r="K97" s="257" t="e">
        <f>#REF!+I97</f>
        <v>#REF!</v>
      </c>
      <c r="L97" s="257" t="e">
        <f>F97+J97</f>
        <v>#REF!</v>
      </c>
      <c r="M97" s="257" t="e">
        <f t="shared" ref="M97:N97" si="65">G97+K97</f>
        <v>#REF!</v>
      </c>
      <c r="N97" s="257" t="e">
        <f t="shared" si="65"/>
        <v>#REF!</v>
      </c>
    </row>
    <row r="98" spans="1:14" ht="25.5" hidden="1" customHeight="1" x14ac:dyDescent="0.2">
      <c r="A98" s="259" t="s">
        <v>114</v>
      </c>
      <c r="B98" s="252" t="s">
        <v>73</v>
      </c>
      <c r="C98" s="252" t="s">
        <v>233</v>
      </c>
      <c r="D98" s="252" t="s">
        <v>190</v>
      </c>
      <c r="E98" s="251" t="s">
        <v>115</v>
      </c>
      <c r="F98" s="252"/>
      <c r="G98" s="256"/>
      <c r="H98" s="256"/>
      <c r="I98" s="257" t="e">
        <f>I99</f>
        <v>#REF!</v>
      </c>
      <c r="J98" s="257" t="e">
        <f>J99</f>
        <v>#REF!</v>
      </c>
      <c r="K98" s="257" t="e">
        <f>K99</f>
        <v>#REF!</v>
      </c>
      <c r="L98" s="257" t="e">
        <f>L99</f>
        <v>#REF!</v>
      </c>
      <c r="M98" s="257" t="e">
        <f t="shared" ref="M98:N98" si="66">M99</f>
        <v>#REF!</v>
      </c>
      <c r="N98" s="257" t="e">
        <f t="shared" si="66"/>
        <v>#REF!</v>
      </c>
    </row>
    <row r="99" spans="1:14" ht="12.75" hidden="1" customHeight="1" x14ac:dyDescent="0.2">
      <c r="A99" s="259" t="s">
        <v>300</v>
      </c>
      <c r="B99" s="252" t="s">
        <v>73</v>
      </c>
      <c r="C99" s="252" t="s">
        <v>233</v>
      </c>
      <c r="D99" s="252" t="s">
        <v>190</v>
      </c>
      <c r="E99" s="251" t="s">
        <v>115</v>
      </c>
      <c r="F99" s="252" t="s">
        <v>301</v>
      </c>
      <c r="G99" s="256"/>
      <c r="H99" s="256"/>
      <c r="I99" s="257" t="e">
        <f>#REF!+G99</f>
        <v>#REF!</v>
      </c>
      <c r="J99" s="257" t="e">
        <f>G99+I99</f>
        <v>#REF!</v>
      </c>
      <c r="K99" s="257" t="e">
        <f>H99+I99</f>
        <v>#REF!</v>
      </c>
      <c r="L99" s="257" t="e">
        <f>H99+J99</f>
        <v>#REF!</v>
      </c>
      <c r="M99" s="257" t="e">
        <f t="shared" ref="M99:N99" si="67">I99+K99</f>
        <v>#REF!</v>
      </c>
      <c r="N99" s="257" t="e">
        <f t="shared" si="67"/>
        <v>#REF!</v>
      </c>
    </row>
    <row r="100" spans="1:14" ht="25.5" hidden="1" customHeight="1" x14ac:dyDescent="0.2">
      <c r="A100" s="259" t="s">
        <v>116</v>
      </c>
      <c r="B100" s="252" t="s">
        <v>73</v>
      </c>
      <c r="C100" s="252" t="s">
        <v>233</v>
      </c>
      <c r="D100" s="252" t="s">
        <v>190</v>
      </c>
      <c r="E100" s="251" t="s">
        <v>117</v>
      </c>
      <c r="F100" s="252"/>
      <c r="G100" s="256"/>
      <c r="H100" s="256"/>
      <c r="I100" s="257" t="e">
        <f>I101</f>
        <v>#REF!</v>
      </c>
      <c r="J100" s="257" t="e">
        <f>J101</f>
        <v>#REF!</v>
      </c>
      <c r="K100" s="257" t="e">
        <f>K101</f>
        <v>#REF!</v>
      </c>
      <c r="L100" s="257" t="e">
        <f>L101</f>
        <v>#REF!</v>
      </c>
      <c r="M100" s="257" t="e">
        <f t="shared" ref="M100:N100" si="68">M101</f>
        <v>#REF!</v>
      </c>
      <c r="N100" s="257" t="e">
        <f t="shared" si="68"/>
        <v>#REF!</v>
      </c>
    </row>
    <row r="101" spans="1:14" ht="12.75" hidden="1" customHeight="1" x14ac:dyDescent="0.2">
      <c r="A101" s="259" t="s">
        <v>300</v>
      </c>
      <c r="B101" s="252" t="s">
        <v>73</v>
      </c>
      <c r="C101" s="252" t="s">
        <v>233</v>
      </c>
      <c r="D101" s="252" t="s">
        <v>190</v>
      </c>
      <c r="E101" s="251" t="s">
        <v>117</v>
      </c>
      <c r="F101" s="252" t="s">
        <v>301</v>
      </c>
      <c r="G101" s="256"/>
      <c r="H101" s="256"/>
      <c r="I101" s="257" t="e">
        <f>#REF!+G101</f>
        <v>#REF!</v>
      </c>
      <c r="J101" s="257" t="e">
        <f>#REF!+I101</f>
        <v>#REF!</v>
      </c>
      <c r="K101" s="257" t="e">
        <f>#REF!+I101</f>
        <v>#REF!</v>
      </c>
      <c r="L101" s="257" t="e">
        <f>F101+J101</f>
        <v>#REF!</v>
      </c>
      <c r="M101" s="257" t="e">
        <f t="shared" ref="M101:N102" si="69">G101+K101</f>
        <v>#REF!</v>
      </c>
      <c r="N101" s="257" t="e">
        <f t="shared" si="69"/>
        <v>#REF!</v>
      </c>
    </row>
    <row r="102" spans="1:14" ht="12.75" hidden="1" customHeight="1" x14ac:dyDescent="0.2">
      <c r="A102" s="259" t="s">
        <v>324</v>
      </c>
      <c r="B102" s="252" t="s">
        <v>73</v>
      </c>
      <c r="C102" s="252" t="s">
        <v>233</v>
      </c>
      <c r="D102" s="252" t="s">
        <v>190</v>
      </c>
      <c r="E102" s="252" t="s">
        <v>325</v>
      </c>
      <c r="F102" s="252"/>
      <c r="G102" s="256"/>
      <c r="H102" s="256"/>
      <c r="I102" s="257" t="e">
        <f>#REF!+G102</f>
        <v>#REF!</v>
      </c>
      <c r="J102" s="257" t="e">
        <f>#REF!+I102</f>
        <v>#REF!</v>
      </c>
      <c r="K102" s="257" t="e">
        <f>#REF!+I102</f>
        <v>#REF!</v>
      </c>
      <c r="L102" s="257" t="e">
        <f>F102+J102</f>
        <v>#REF!</v>
      </c>
      <c r="M102" s="257" t="e">
        <f t="shared" si="69"/>
        <v>#REF!</v>
      </c>
      <c r="N102" s="257" t="e">
        <f t="shared" si="69"/>
        <v>#REF!</v>
      </c>
    </row>
    <row r="103" spans="1:14" ht="25.5" hidden="1" customHeight="1" x14ac:dyDescent="0.2">
      <c r="A103" s="259" t="s">
        <v>116</v>
      </c>
      <c r="B103" s="252" t="s">
        <v>73</v>
      </c>
      <c r="C103" s="252" t="s">
        <v>233</v>
      </c>
      <c r="D103" s="252" t="s">
        <v>190</v>
      </c>
      <c r="E103" s="251" t="s">
        <v>118</v>
      </c>
      <c r="F103" s="252"/>
      <c r="G103" s="256"/>
      <c r="H103" s="256"/>
      <c r="I103" s="257" t="e">
        <f>I104</f>
        <v>#REF!</v>
      </c>
      <c r="J103" s="257" t="e">
        <f>J104</f>
        <v>#REF!</v>
      </c>
      <c r="K103" s="257" t="e">
        <f>K104</f>
        <v>#REF!</v>
      </c>
      <c r="L103" s="257" t="e">
        <f>L104</f>
        <v>#REF!</v>
      </c>
      <c r="M103" s="257" t="e">
        <f t="shared" ref="M103:N103" si="70">M104</f>
        <v>#REF!</v>
      </c>
      <c r="N103" s="257" t="e">
        <f t="shared" si="70"/>
        <v>#REF!</v>
      </c>
    </row>
    <row r="104" spans="1:14" ht="12.75" hidden="1" customHeight="1" x14ac:dyDescent="0.2">
      <c r="A104" s="259" t="s">
        <v>300</v>
      </c>
      <c r="B104" s="252" t="s">
        <v>73</v>
      </c>
      <c r="C104" s="252" t="s">
        <v>233</v>
      </c>
      <c r="D104" s="252" t="s">
        <v>190</v>
      </c>
      <c r="E104" s="251" t="s">
        <v>118</v>
      </c>
      <c r="F104" s="252" t="s">
        <v>301</v>
      </c>
      <c r="G104" s="256"/>
      <c r="H104" s="256"/>
      <c r="I104" s="257" t="e">
        <f>#REF!+G104</f>
        <v>#REF!</v>
      </c>
      <c r="J104" s="257" t="e">
        <f>G104+I104</f>
        <v>#REF!</v>
      </c>
      <c r="K104" s="257" t="e">
        <f>H104+I104</f>
        <v>#REF!</v>
      </c>
      <c r="L104" s="257" t="e">
        <f>H104+J104</f>
        <v>#REF!</v>
      </c>
      <c r="M104" s="257" t="e">
        <f t="shared" ref="M104:N104" si="71">I104+K104</f>
        <v>#REF!</v>
      </c>
      <c r="N104" s="257" t="e">
        <f t="shared" si="71"/>
        <v>#REF!</v>
      </c>
    </row>
    <row r="105" spans="1:14" ht="15" hidden="1" customHeight="1" x14ac:dyDescent="0.2">
      <c r="A105" s="259" t="s">
        <v>324</v>
      </c>
      <c r="B105" s="252" t="s">
        <v>73</v>
      </c>
      <c r="C105" s="252" t="s">
        <v>233</v>
      </c>
      <c r="D105" s="252" t="s">
        <v>190</v>
      </c>
      <c r="E105" s="252" t="s">
        <v>325</v>
      </c>
      <c r="F105" s="252"/>
      <c r="G105" s="256"/>
      <c r="H105" s="256"/>
      <c r="I105" s="257" t="e">
        <f>I106</f>
        <v>#REF!</v>
      </c>
      <c r="J105" s="257" t="e">
        <f>J106</f>
        <v>#REF!</v>
      </c>
      <c r="K105" s="257" t="e">
        <f>K106</f>
        <v>#REF!</v>
      </c>
      <c r="L105" s="257" t="e">
        <f>L106</f>
        <v>#REF!</v>
      </c>
      <c r="M105" s="257" t="e">
        <f t="shared" ref="M105:N105" si="72">M106</f>
        <v>#REF!</v>
      </c>
      <c r="N105" s="257" t="e">
        <f t="shared" si="72"/>
        <v>#REF!</v>
      </c>
    </row>
    <row r="106" spans="1:14" ht="15" hidden="1" customHeight="1" x14ac:dyDescent="0.2">
      <c r="A106" s="259" t="s">
        <v>119</v>
      </c>
      <c r="B106" s="252" t="s">
        <v>73</v>
      </c>
      <c r="C106" s="252" t="s">
        <v>233</v>
      </c>
      <c r="D106" s="252" t="s">
        <v>190</v>
      </c>
      <c r="E106" s="252" t="s">
        <v>120</v>
      </c>
      <c r="F106" s="252"/>
      <c r="G106" s="256"/>
      <c r="H106" s="256"/>
      <c r="I106" s="257" t="e">
        <f>I107+I108</f>
        <v>#REF!</v>
      </c>
      <c r="J106" s="257" t="e">
        <f>J107+J108</f>
        <v>#REF!</v>
      </c>
      <c r="K106" s="257" t="e">
        <f>K107+K108</f>
        <v>#REF!</v>
      </c>
      <c r="L106" s="257" t="e">
        <f>L107+L108</f>
        <v>#REF!</v>
      </c>
      <c r="M106" s="257" t="e">
        <f t="shared" ref="M106:N106" si="73">M107+M108</f>
        <v>#REF!</v>
      </c>
      <c r="N106" s="257" t="e">
        <f t="shared" si="73"/>
        <v>#REF!</v>
      </c>
    </row>
    <row r="107" spans="1:14" ht="30" hidden="1" customHeight="1" x14ac:dyDescent="0.2">
      <c r="A107" s="259" t="s">
        <v>93</v>
      </c>
      <c r="B107" s="252" t="s">
        <v>73</v>
      </c>
      <c r="C107" s="252" t="s">
        <v>233</v>
      </c>
      <c r="D107" s="252" t="s">
        <v>190</v>
      </c>
      <c r="E107" s="252" t="s">
        <v>120</v>
      </c>
      <c r="F107" s="252" t="s">
        <v>94</v>
      </c>
      <c r="G107" s="256"/>
      <c r="H107" s="256"/>
      <c r="I107" s="257" t="e">
        <f>#REF!+G107</f>
        <v>#REF!</v>
      </c>
      <c r="J107" s="257" t="e">
        <f>G107+I107</f>
        <v>#REF!</v>
      </c>
      <c r="K107" s="257" t="e">
        <f>H107+I107</f>
        <v>#REF!</v>
      </c>
      <c r="L107" s="257" t="e">
        <f>H107+J107</f>
        <v>#REF!</v>
      </c>
      <c r="M107" s="257" t="e">
        <f t="shared" ref="M107:N108" si="74">I107+K107</f>
        <v>#REF!</v>
      </c>
      <c r="N107" s="257" t="e">
        <f t="shared" si="74"/>
        <v>#REF!</v>
      </c>
    </row>
    <row r="108" spans="1:14" ht="15" hidden="1" customHeight="1" x14ac:dyDescent="0.2">
      <c r="A108" s="259" t="s">
        <v>78</v>
      </c>
      <c r="B108" s="252" t="s">
        <v>73</v>
      </c>
      <c r="C108" s="252" t="s">
        <v>233</v>
      </c>
      <c r="D108" s="252" t="s">
        <v>190</v>
      </c>
      <c r="E108" s="252" t="s">
        <v>120</v>
      </c>
      <c r="F108" s="252" t="s">
        <v>79</v>
      </c>
      <c r="G108" s="256"/>
      <c r="H108" s="256"/>
      <c r="I108" s="257" t="e">
        <f>#REF!+G108</f>
        <v>#REF!</v>
      </c>
      <c r="J108" s="257" t="e">
        <f>G108+I108</f>
        <v>#REF!</v>
      </c>
      <c r="K108" s="257" t="e">
        <f>H108+I108</f>
        <v>#REF!</v>
      </c>
      <c r="L108" s="257" t="e">
        <f>H108+J108</f>
        <v>#REF!</v>
      </c>
      <c r="M108" s="257" t="e">
        <f t="shared" si="74"/>
        <v>#REF!</v>
      </c>
      <c r="N108" s="257" t="e">
        <f t="shared" si="74"/>
        <v>#REF!</v>
      </c>
    </row>
    <row r="109" spans="1:14" s="242" customFormat="1" ht="15" hidden="1" x14ac:dyDescent="0.2">
      <c r="A109" s="259" t="s">
        <v>404</v>
      </c>
      <c r="B109" s="252" t="s">
        <v>73</v>
      </c>
      <c r="C109" s="252" t="s">
        <v>233</v>
      </c>
      <c r="D109" s="252" t="s">
        <v>190</v>
      </c>
      <c r="E109" s="251" t="s">
        <v>62</v>
      </c>
      <c r="F109" s="252"/>
      <c r="G109" s="256"/>
      <c r="H109" s="256"/>
      <c r="I109" s="257">
        <f>I121</f>
        <v>-4766.3</v>
      </c>
      <c r="J109" s="257">
        <f>J121</f>
        <v>-4766.3</v>
      </c>
      <c r="K109" s="257">
        <f>K121</f>
        <v>-4766.3</v>
      </c>
      <c r="L109" s="257">
        <f>L121</f>
        <v>-4766.3</v>
      </c>
      <c r="M109" s="257">
        <f t="shared" ref="M109:N109" si="75">M121</f>
        <v>-9532.6</v>
      </c>
      <c r="N109" s="257">
        <f t="shared" si="75"/>
        <v>-9532.6</v>
      </c>
    </row>
    <row r="110" spans="1:14" s="242" customFormat="1" ht="15" hidden="1" x14ac:dyDescent="0.2">
      <c r="A110" s="259" t="s">
        <v>538</v>
      </c>
      <c r="B110" s="252" t="s">
        <v>73</v>
      </c>
      <c r="C110" s="252" t="s">
        <v>233</v>
      </c>
      <c r="D110" s="252" t="s">
        <v>190</v>
      </c>
      <c r="E110" s="251" t="s">
        <v>375</v>
      </c>
      <c r="F110" s="252"/>
      <c r="G110" s="256"/>
      <c r="H110" s="256"/>
      <c r="I110" s="257" t="e">
        <f>I112</f>
        <v>#REF!</v>
      </c>
      <c r="J110" s="257" t="e">
        <f>J112</f>
        <v>#REF!</v>
      </c>
      <c r="K110" s="257" t="e">
        <f>K112</f>
        <v>#REF!</v>
      </c>
      <c r="L110" s="257" t="e">
        <f>L112</f>
        <v>#REF!</v>
      </c>
      <c r="M110" s="257" t="e">
        <f t="shared" ref="M110:N110" si="76">M112</f>
        <v>#REF!</v>
      </c>
      <c r="N110" s="257" t="e">
        <f t="shared" si="76"/>
        <v>#REF!</v>
      </c>
    </row>
    <row r="111" spans="1:14" s="242" customFormat="1" ht="26.25" hidden="1" customHeight="1" x14ac:dyDescent="0.2">
      <c r="A111" s="259" t="s">
        <v>101</v>
      </c>
      <c r="B111" s="252" t="s">
        <v>73</v>
      </c>
      <c r="C111" s="252" t="s">
        <v>233</v>
      </c>
      <c r="D111" s="252" t="s">
        <v>196</v>
      </c>
      <c r="E111" s="251" t="s">
        <v>174</v>
      </c>
      <c r="F111" s="252" t="s">
        <v>102</v>
      </c>
      <c r="G111" s="256"/>
      <c r="H111" s="256"/>
      <c r="I111" s="257" t="e">
        <f>#REF!+G111</f>
        <v>#REF!</v>
      </c>
      <c r="J111" s="257" t="e">
        <f>#REF!+I111</f>
        <v>#REF!</v>
      </c>
      <c r="K111" s="257" t="e">
        <f>#REF!+I111</f>
        <v>#REF!</v>
      </c>
      <c r="L111" s="257" t="e">
        <f>F111+J111</f>
        <v>#REF!</v>
      </c>
      <c r="M111" s="257" t="e">
        <f t="shared" ref="M111:N111" si="77">G111+K111</f>
        <v>#REF!</v>
      </c>
      <c r="N111" s="257" t="e">
        <f t="shared" si="77"/>
        <v>#REF!</v>
      </c>
    </row>
    <row r="112" spans="1:14" s="242" customFormat="1" ht="15" hidden="1" x14ac:dyDescent="0.2">
      <c r="A112" s="259" t="s">
        <v>93</v>
      </c>
      <c r="B112" s="252" t="s">
        <v>73</v>
      </c>
      <c r="C112" s="252" t="s">
        <v>233</v>
      </c>
      <c r="D112" s="252" t="s">
        <v>190</v>
      </c>
      <c r="E112" s="251" t="s">
        <v>375</v>
      </c>
      <c r="F112" s="252" t="s">
        <v>94</v>
      </c>
      <c r="G112" s="256"/>
      <c r="H112" s="256"/>
      <c r="I112" s="257" t="e">
        <f>#REF!+G112</f>
        <v>#REF!</v>
      </c>
      <c r="J112" s="257" t="e">
        <f>G112+I112</f>
        <v>#REF!</v>
      </c>
      <c r="K112" s="257" t="e">
        <f>H112+I112</f>
        <v>#REF!</v>
      </c>
      <c r="L112" s="257" t="e">
        <f>H112+J112</f>
        <v>#REF!</v>
      </c>
      <c r="M112" s="257" t="e">
        <f t="shared" ref="M112:N112" si="78">I112+K112</f>
        <v>#REF!</v>
      </c>
      <c r="N112" s="257" t="e">
        <f t="shared" si="78"/>
        <v>#REF!</v>
      </c>
    </row>
    <row r="113" spans="1:14" s="20" customFormat="1" ht="12.75" hidden="1" customHeight="1" x14ac:dyDescent="0.2">
      <c r="A113" s="259" t="s">
        <v>329</v>
      </c>
      <c r="B113" s="252" t="s">
        <v>73</v>
      </c>
      <c r="C113" s="252" t="s">
        <v>233</v>
      </c>
      <c r="D113" s="252" t="s">
        <v>190</v>
      </c>
      <c r="E113" s="251" t="s">
        <v>402</v>
      </c>
      <c r="F113" s="252"/>
      <c r="G113" s="256"/>
      <c r="H113" s="256"/>
      <c r="I113" s="257" t="e">
        <f t="shared" ref="I113:N114" si="79">I114</f>
        <v>#REF!</v>
      </c>
      <c r="J113" s="257" t="e">
        <f t="shared" si="79"/>
        <v>#REF!</v>
      </c>
      <c r="K113" s="257" t="e">
        <f t="shared" si="79"/>
        <v>#REF!</v>
      </c>
      <c r="L113" s="257" t="e">
        <f t="shared" si="79"/>
        <v>#REF!</v>
      </c>
      <c r="M113" s="257" t="e">
        <f t="shared" si="79"/>
        <v>#REF!</v>
      </c>
      <c r="N113" s="257" t="e">
        <f t="shared" si="79"/>
        <v>#REF!</v>
      </c>
    </row>
    <row r="114" spans="1:14" ht="38.25" hidden="1" customHeight="1" x14ac:dyDescent="0.2">
      <c r="A114" s="266" t="s">
        <v>122</v>
      </c>
      <c r="B114" s="252" t="s">
        <v>73</v>
      </c>
      <c r="C114" s="252" t="s">
        <v>233</v>
      </c>
      <c r="D114" s="252" t="s">
        <v>190</v>
      </c>
      <c r="E114" s="251" t="s">
        <v>406</v>
      </c>
      <c r="F114" s="252"/>
      <c r="G114" s="256"/>
      <c r="H114" s="256"/>
      <c r="I114" s="257" t="e">
        <f t="shared" si="79"/>
        <v>#REF!</v>
      </c>
      <c r="J114" s="257" t="e">
        <f t="shared" si="79"/>
        <v>#REF!</v>
      </c>
      <c r="K114" s="257" t="e">
        <f t="shared" si="79"/>
        <v>#REF!</v>
      </c>
      <c r="L114" s="257" t="e">
        <f t="shared" si="79"/>
        <v>#REF!</v>
      </c>
      <c r="M114" s="257" t="e">
        <f t="shared" si="79"/>
        <v>#REF!</v>
      </c>
      <c r="N114" s="257" t="e">
        <f t="shared" si="79"/>
        <v>#REF!</v>
      </c>
    </row>
    <row r="115" spans="1:14" ht="23.25" hidden="1" customHeight="1" x14ac:dyDescent="0.2">
      <c r="A115" s="259" t="s">
        <v>320</v>
      </c>
      <c r="B115" s="252" t="s">
        <v>73</v>
      </c>
      <c r="C115" s="252" t="s">
        <v>233</v>
      </c>
      <c r="D115" s="252" t="s">
        <v>190</v>
      </c>
      <c r="E115" s="251" t="s">
        <v>407</v>
      </c>
      <c r="F115" s="252" t="s">
        <v>321</v>
      </c>
      <c r="G115" s="256"/>
      <c r="H115" s="256"/>
      <c r="I115" s="257" t="e">
        <f>#REF!+G115</f>
        <v>#REF!</v>
      </c>
      <c r="J115" s="257" t="e">
        <f>#REF!+I115</f>
        <v>#REF!</v>
      </c>
      <c r="K115" s="257" t="e">
        <f>#REF!+I115</f>
        <v>#REF!</v>
      </c>
      <c r="L115" s="257" t="e">
        <f>F115+J115</f>
        <v>#REF!</v>
      </c>
      <c r="M115" s="257" t="e">
        <f t="shared" ref="M115:N115" si="80">G115+K115</f>
        <v>#REF!</v>
      </c>
      <c r="N115" s="257" t="e">
        <f t="shared" si="80"/>
        <v>#REF!</v>
      </c>
    </row>
    <row r="116" spans="1:14" ht="27" hidden="1" customHeight="1" x14ac:dyDescent="0.2">
      <c r="A116" s="259" t="s">
        <v>403</v>
      </c>
      <c r="B116" s="252" t="s">
        <v>73</v>
      </c>
      <c r="C116" s="252" t="s">
        <v>233</v>
      </c>
      <c r="D116" s="252" t="s">
        <v>190</v>
      </c>
      <c r="E116" s="251" t="s">
        <v>405</v>
      </c>
      <c r="F116" s="252"/>
      <c r="G116" s="256"/>
      <c r="H116" s="256"/>
      <c r="I116" s="257" t="e">
        <f>I117+I118+I119+I120</f>
        <v>#REF!</v>
      </c>
      <c r="J116" s="257" t="e">
        <f>J117+J118+J119+J120</f>
        <v>#REF!</v>
      </c>
      <c r="K116" s="257" t="e">
        <f>K117+K118+K119+K120</f>
        <v>#REF!</v>
      </c>
      <c r="L116" s="257" t="e">
        <f>L117+L118+L119+L120</f>
        <v>#REF!</v>
      </c>
      <c r="M116" s="257" t="e">
        <f t="shared" ref="M116:N116" si="81">M117+M118+M119+M120</f>
        <v>#REF!</v>
      </c>
      <c r="N116" s="257" t="e">
        <f t="shared" si="81"/>
        <v>#REF!</v>
      </c>
    </row>
    <row r="117" spans="1:14" ht="23.25" hidden="1" customHeight="1" x14ac:dyDescent="0.2">
      <c r="A117" s="259" t="s">
        <v>95</v>
      </c>
      <c r="B117" s="252" t="s">
        <v>73</v>
      </c>
      <c r="C117" s="252" t="s">
        <v>233</v>
      </c>
      <c r="D117" s="252" t="s">
        <v>190</v>
      </c>
      <c r="E117" s="252" t="s">
        <v>408</v>
      </c>
      <c r="F117" s="252" t="s">
        <v>96</v>
      </c>
      <c r="G117" s="256"/>
      <c r="H117" s="256"/>
      <c r="I117" s="257" t="e">
        <f>#REF!+G117</f>
        <v>#REF!</v>
      </c>
      <c r="J117" s="257" t="e">
        <f>G117+I117</f>
        <v>#REF!</v>
      </c>
      <c r="K117" s="257" t="e">
        <f>H117+I117</f>
        <v>#REF!</v>
      </c>
      <c r="L117" s="257" t="e">
        <f t="shared" ref="L117:L120" si="82">H117+J117</f>
        <v>#REF!</v>
      </c>
      <c r="M117" s="257" t="e">
        <f t="shared" ref="M117:M120" si="83">I117+K117</f>
        <v>#REF!</v>
      </c>
      <c r="N117" s="257" t="e">
        <f t="shared" ref="N117:N120" si="84">J117+L117</f>
        <v>#REF!</v>
      </c>
    </row>
    <row r="118" spans="1:14" ht="31.5" hidden="1" customHeight="1" x14ac:dyDescent="0.2">
      <c r="A118" s="259" t="s">
        <v>93</v>
      </c>
      <c r="B118" s="252" t="s">
        <v>73</v>
      </c>
      <c r="C118" s="252" t="s">
        <v>233</v>
      </c>
      <c r="D118" s="252" t="s">
        <v>190</v>
      </c>
      <c r="E118" s="252" t="s">
        <v>408</v>
      </c>
      <c r="F118" s="252" t="s">
        <v>94</v>
      </c>
      <c r="G118" s="256"/>
      <c r="H118" s="256"/>
      <c r="I118" s="257" t="e">
        <f>#REF!+G118</f>
        <v>#REF!</v>
      </c>
      <c r="J118" s="257" t="e">
        <f>G118+I118</f>
        <v>#REF!</v>
      </c>
      <c r="K118" s="257" t="e">
        <f>H118+I118</f>
        <v>#REF!</v>
      </c>
      <c r="L118" s="257" t="e">
        <f t="shared" si="82"/>
        <v>#REF!</v>
      </c>
      <c r="M118" s="257" t="e">
        <f t="shared" si="83"/>
        <v>#REF!</v>
      </c>
      <c r="N118" s="257" t="e">
        <f t="shared" si="84"/>
        <v>#REF!</v>
      </c>
    </row>
    <row r="119" spans="1:14" ht="23.25" hidden="1" customHeight="1" x14ac:dyDescent="0.2">
      <c r="A119" s="259" t="s">
        <v>103</v>
      </c>
      <c r="B119" s="252" t="s">
        <v>73</v>
      </c>
      <c r="C119" s="252" t="s">
        <v>233</v>
      </c>
      <c r="D119" s="252" t="s">
        <v>190</v>
      </c>
      <c r="E119" s="252" t="s">
        <v>408</v>
      </c>
      <c r="F119" s="252" t="s">
        <v>104</v>
      </c>
      <c r="G119" s="256"/>
      <c r="H119" s="256"/>
      <c r="I119" s="257" t="e">
        <f>#REF!+G119</f>
        <v>#REF!</v>
      </c>
      <c r="J119" s="257" t="e">
        <f>G119+I119</f>
        <v>#REF!</v>
      </c>
      <c r="K119" s="257" t="e">
        <f>H119+I119</f>
        <v>#REF!</v>
      </c>
      <c r="L119" s="257" t="e">
        <f t="shared" si="82"/>
        <v>#REF!</v>
      </c>
      <c r="M119" s="257" t="e">
        <f t="shared" si="83"/>
        <v>#REF!</v>
      </c>
      <c r="N119" s="257" t="e">
        <f t="shared" si="84"/>
        <v>#REF!</v>
      </c>
    </row>
    <row r="120" spans="1:14" ht="23.25" hidden="1" customHeight="1" x14ac:dyDescent="0.2">
      <c r="A120" s="259" t="s">
        <v>105</v>
      </c>
      <c r="B120" s="252" t="s">
        <v>73</v>
      </c>
      <c r="C120" s="252" t="s">
        <v>233</v>
      </c>
      <c r="D120" s="252" t="s">
        <v>190</v>
      </c>
      <c r="E120" s="252" t="s">
        <v>408</v>
      </c>
      <c r="F120" s="252" t="s">
        <v>106</v>
      </c>
      <c r="G120" s="256"/>
      <c r="H120" s="256"/>
      <c r="I120" s="257" t="e">
        <f>#REF!+G120</f>
        <v>#REF!</v>
      </c>
      <c r="J120" s="257" t="e">
        <f>G120+I120</f>
        <v>#REF!</v>
      </c>
      <c r="K120" s="257" t="e">
        <f>H120+I120</f>
        <v>#REF!</v>
      </c>
      <c r="L120" s="257" t="e">
        <f t="shared" si="82"/>
        <v>#REF!</v>
      </c>
      <c r="M120" s="257" t="e">
        <f t="shared" si="83"/>
        <v>#REF!</v>
      </c>
      <c r="N120" s="257" t="e">
        <f t="shared" si="84"/>
        <v>#REF!</v>
      </c>
    </row>
    <row r="121" spans="1:14" ht="17.25" hidden="1" customHeight="1" x14ac:dyDescent="0.2">
      <c r="A121" s="259" t="s">
        <v>420</v>
      </c>
      <c r="B121" s="252" t="s">
        <v>73</v>
      </c>
      <c r="C121" s="252" t="s">
        <v>233</v>
      </c>
      <c r="D121" s="252" t="s">
        <v>190</v>
      </c>
      <c r="E121" s="251" t="s">
        <v>428</v>
      </c>
      <c r="F121" s="252"/>
      <c r="G121" s="256"/>
      <c r="H121" s="256"/>
      <c r="I121" s="257">
        <f>I122+I123</f>
        <v>-4766.3</v>
      </c>
      <c r="J121" s="257">
        <f>J122+J123</f>
        <v>-4766.3</v>
      </c>
      <c r="K121" s="257">
        <f>K122+K123</f>
        <v>-4766.3</v>
      </c>
      <c r="L121" s="257">
        <f>L122+L123</f>
        <v>-4766.3</v>
      </c>
      <c r="M121" s="257">
        <f t="shared" ref="M121:N121" si="85">M122+M123</f>
        <v>-9532.6</v>
      </c>
      <c r="N121" s="257">
        <f t="shared" si="85"/>
        <v>-9532.6</v>
      </c>
    </row>
    <row r="122" spans="1:14" ht="18.75" hidden="1" customHeight="1" x14ac:dyDescent="0.2">
      <c r="A122" s="259" t="s">
        <v>93</v>
      </c>
      <c r="B122" s="252" t="s">
        <v>73</v>
      </c>
      <c r="C122" s="252" t="s">
        <v>233</v>
      </c>
      <c r="D122" s="252" t="s">
        <v>190</v>
      </c>
      <c r="E122" s="251" t="s">
        <v>428</v>
      </c>
      <c r="F122" s="252" t="s">
        <v>94</v>
      </c>
      <c r="G122" s="256"/>
      <c r="H122" s="256"/>
      <c r="I122" s="257">
        <v>-100</v>
      </c>
      <c r="J122" s="257">
        <f>G122+I122</f>
        <v>-100</v>
      </c>
      <c r="K122" s="257">
        <v>-100</v>
      </c>
      <c r="L122" s="257">
        <f>H122+J122</f>
        <v>-100</v>
      </c>
      <c r="M122" s="257">
        <f t="shared" ref="M122:N123" si="86">I122+K122</f>
        <v>-200</v>
      </c>
      <c r="N122" s="257">
        <f t="shared" si="86"/>
        <v>-200</v>
      </c>
    </row>
    <row r="123" spans="1:14" ht="32.25" hidden="1" customHeight="1" x14ac:dyDescent="0.2">
      <c r="A123" s="259" t="s">
        <v>76</v>
      </c>
      <c r="B123" s="252" t="s">
        <v>73</v>
      </c>
      <c r="C123" s="252" t="s">
        <v>233</v>
      </c>
      <c r="D123" s="252" t="s">
        <v>190</v>
      </c>
      <c r="E123" s="251" t="s">
        <v>428</v>
      </c>
      <c r="F123" s="252" t="s">
        <v>77</v>
      </c>
      <c r="G123" s="256"/>
      <c r="H123" s="256"/>
      <c r="I123" s="257">
        <v>-4666.3</v>
      </c>
      <c r="J123" s="257">
        <f>G123+I123</f>
        <v>-4666.3</v>
      </c>
      <c r="K123" s="257">
        <v>-4666.3</v>
      </c>
      <c r="L123" s="257">
        <f>H123+J123</f>
        <v>-4666.3</v>
      </c>
      <c r="M123" s="257">
        <f t="shared" si="86"/>
        <v>-9332.6</v>
      </c>
      <c r="N123" s="257">
        <f t="shared" si="86"/>
        <v>-9332.6</v>
      </c>
    </row>
    <row r="124" spans="1:14" ht="32.25" customHeight="1" x14ac:dyDescent="0.2">
      <c r="A124" s="259" t="s">
        <v>997</v>
      </c>
      <c r="B124" s="252" t="s">
        <v>73</v>
      </c>
      <c r="C124" s="252" t="s">
        <v>233</v>
      </c>
      <c r="D124" s="252" t="s">
        <v>190</v>
      </c>
      <c r="E124" s="251" t="s">
        <v>747</v>
      </c>
      <c r="F124" s="252"/>
      <c r="G124" s="257">
        <f>G125</f>
        <v>0</v>
      </c>
      <c r="H124" s="257">
        <f>H125</f>
        <v>9786</v>
      </c>
      <c r="I124" s="257">
        <f>I125</f>
        <v>0</v>
      </c>
      <c r="J124" s="257">
        <f t="shared" ref="J124:J133" si="87">H124+I124</f>
        <v>9786</v>
      </c>
      <c r="K124" s="257" t="e">
        <f>K125+#REF!+#REF!+#REF!</f>
        <v>#REF!</v>
      </c>
      <c r="L124" s="257">
        <f>L125+L127+L126</f>
        <v>11330</v>
      </c>
      <c r="M124" s="257">
        <f>M125+M127+M126</f>
        <v>6078</v>
      </c>
      <c r="N124" s="257">
        <f>N125+N127+N126</f>
        <v>17408</v>
      </c>
    </row>
    <row r="125" spans="1:14" ht="32.25" customHeight="1" x14ac:dyDescent="0.2">
      <c r="A125" s="259" t="s">
        <v>76</v>
      </c>
      <c r="B125" s="252" t="s">
        <v>73</v>
      </c>
      <c r="C125" s="252" t="s">
        <v>233</v>
      </c>
      <c r="D125" s="252" t="s">
        <v>190</v>
      </c>
      <c r="E125" s="251" t="s">
        <v>747</v>
      </c>
      <c r="F125" s="252" t="s">
        <v>77</v>
      </c>
      <c r="G125" s="256"/>
      <c r="H125" s="256">
        <v>9786</v>
      </c>
      <c r="I125" s="257">
        <v>0</v>
      </c>
      <c r="J125" s="257">
        <f t="shared" si="87"/>
        <v>9786</v>
      </c>
      <c r="K125" s="257">
        <v>2036.5039999999999</v>
      </c>
      <c r="L125" s="257">
        <f>12830-1500</f>
        <v>11330</v>
      </c>
      <c r="M125" s="257">
        <f>2297+3681</f>
        <v>5978</v>
      </c>
      <c r="N125" s="257">
        <f>L125+M125</f>
        <v>17308</v>
      </c>
    </row>
    <row r="126" spans="1:14" ht="32.25" customHeight="1" x14ac:dyDescent="0.2">
      <c r="A126" s="263" t="s">
        <v>997</v>
      </c>
      <c r="B126" s="252" t="s">
        <v>73</v>
      </c>
      <c r="C126" s="252" t="s">
        <v>233</v>
      </c>
      <c r="D126" s="252" t="s">
        <v>190</v>
      </c>
      <c r="E126" s="251" t="s">
        <v>747</v>
      </c>
      <c r="F126" s="252" t="s">
        <v>79</v>
      </c>
      <c r="G126" s="256"/>
      <c r="H126" s="256"/>
      <c r="I126" s="257"/>
      <c r="J126" s="257"/>
      <c r="K126" s="257"/>
      <c r="L126" s="257">
        <v>0</v>
      </c>
      <c r="M126" s="257">
        <v>100</v>
      </c>
      <c r="N126" s="257">
        <f>L126+M126</f>
        <v>100</v>
      </c>
    </row>
    <row r="127" spans="1:14" ht="22.5" hidden="1" customHeight="1" x14ac:dyDescent="0.2">
      <c r="A127" s="259" t="s">
        <v>78</v>
      </c>
      <c r="B127" s="252" t="s">
        <v>73</v>
      </c>
      <c r="C127" s="252" t="s">
        <v>233</v>
      </c>
      <c r="D127" s="252" t="s">
        <v>190</v>
      </c>
      <c r="E127" s="251" t="s">
        <v>954</v>
      </c>
      <c r="F127" s="252" t="s">
        <v>79</v>
      </c>
      <c r="G127" s="256"/>
      <c r="H127" s="256"/>
      <c r="I127" s="257"/>
      <c r="J127" s="257"/>
      <c r="K127" s="257"/>
      <c r="L127" s="257">
        <v>0</v>
      </c>
      <c r="M127" s="257">
        <v>0</v>
      </c>
      <c r="N127" s="257">
        <f>L127+M127</f>
        <v>0</v>
      </c>
    </row>
    <row r="128" spans="1:14" ht="32.25" customHeight="1" x14ac:dyDescent="0.2">
      <c r="A128" s="259" t="s">
        <v>998</v>
      </c>
      <c r="B128" s="252" t="s">
        <v>73</v>
      </c>
      <c r="C128" s="252" t="s">
        <v>233</v>
      </c>
      <c r="D128" s="252" t="s">
        <v>190</v>
      </c>
      <c r="E128" s="251" t="s">
        <v>746</v>
      </c>
      <c r="F128" s="252"/>
      <c r="G128" s="257">
        <f>G129+G130</f>
        <v>0</v>
      </c>
      <c r="H128" s="257">
        <f>H129+H130</f>
        <v>5716</v>
      </c>
      <c r="I128" s="257">
        <f>I129+I130</f>
        <v>0</v>
      </c>
      <c r="J128" s="257">
        <f t="shared" si="87"/>
        <v>5716</v>
      </c>
      <c r="K128" s="257">
        <f>K129+K130+K131+K132</f>
        <v>1553.7640000000001</v>
      </c>
      <c r="L128" s="257">
        <f>L129+L130+L131+L132+L134</f>
        <v>6120</v>
      </c>
      <c r="M128" s="257">
        <f t="shared" ref="M128:N128" si="88">M129+M130+M131+M132+M134</f>
        <v>1853</v>
      </c>
      <c r="N128" s="257">
        <f t="shared" si="88"/>
        <v>7973</v>
      </c>
    </row>
    <row r="129" spans="1:14" ht="32.25" customHeight="1" x14ac:dyDescent="0.2">
      <c r="A129" s="259" t="s">
        <v>76</v>
      </c>
      <c r="B129" s="252" t="s">
        <v>73</v>
      </c>
      <c r="C129" s="252" t="s">
        <v>233</v>
      </c>
      <c r="D129" s="252" t="s">
        <v>190</v>
      </c>
      <c r="E129" s="251" t="s">
        <v>746</v>
      </c>
      <c r="F129" s="252" t="s">
        <v>77</v>
      </c>
      <c r="G129" s="256"/>
      <c r="H129" s="257">
        <v>5466</v>
      </c>
      <c r="I129" s="257">
        <v>0</v>
      </c>
      <c r="J129" s="257">
        <f t="shared" si="87"/>
        <v>5466</v>
      </c>
      <c r="K129" s="257">
        <v>1033.95</v>
      </c>
      <c r="L129" s="257">
        <f>6420-500</f>
        <v>5920</v>
      </c>
      <c r="M129" s="257">
        <f>275+1728</f>
        <v>2003</v>
      </c>
      <c r="N129" s="257">
        <f>L129+M129</f>
        <v>7923</v>
      </c>
    </row>
    <row r="130" spans="1:14" ht="19.5" customHeight="1" x14ac:dyDescent="0.2">
      <c r="A130" s="259" t="s">
        <v>78</v>
      </c>
      <c r="B130" s="252" t="s">
        <v>73</v>
      </c>
      <c r="C130" s="252" t="s">
        <v>233</v>
      </c>
      <c r="D130" s="252" t="s">
        <v>190</v>
      </c>
      <c r="E130" s="251" t="s">
        <v>746</v>
      </c>
      <c r="F130" s="252" t="s">
        <v>79</v>
      </c>
      <c r="G130" s="256"/>
      <c r="H130" s="257">
        <v>250</v>
      </c>
      <c r="I130" s="257">
        <v>0</v>
      </c>
      <c r="J130" s="257">
        <f t="shared" si="87"/>
        <v>250</v>
      </c>
      <c r="K130" s="257">
        <v>0</v>
      </c>
      <c r="L130" s="257">
        <v>200</v>
      </c>
      <c r="M130" s="257">
        <v>-150</v>
      </c>
      <c r="N130" s="257">
        <f>L130+M130</f>
        <v>50</v>
      </c>
    </row>
    <row r="131" spans="1:14" ht="19.5" hidden="1" customHeight="1" x14ac:dyDescent="0.2">
      <c r="A131" s="259" t="s">
        <v>78</v>
      </c>
      <c r="B131" s="252" t="s">
        <v>73</v>
      </c>
      <c r="C131" s="252" t="s">
        <v>233</v>
      </c>
      <c r="D131" s="252" t="s">
        <v>190</v>
      </c>
      <c r="E131" s="251" t="s">
        <v>914</v>
      </c>
      <c r="F131" s="252" t="s">
        <v>79</v>
      </c>
      <c r="G131" s="256"/>
      <c r="H131" s="257"/>
      <c r="I131" s="257"/>
      <c r="J131" s="257"/>
      <c r="K131" s="257">
        <v>519.81399999999996</v>
      </c>
      <c r="L131" s="257">
        <v>0</v>
      </c>
      <c r="M131" s="257"/>
      <c r="N131" s="257">
        <f t="shared" ref="N131:N134" si="89">L131+M131</f>
        <v>0</v>
      </c>
    </row>
    <row r="132" spans="1:14" ht="32.25" hidden="1" customHeight="1" x14ac:dyDescent="0.2">
      <c r="A132" s="259" t="s">
        <v>90</v>
      </c>
      <c r="B132" s="252" t="s">
        <v>73</v>
      </c>
      <c r="C132" s="252" t="s">
        <v>233</v>
      </c>
      <c r="D132" s="252" t="s">
        <v>190</v>
      </c>
      <c r="E132" s="251" t="s">
        <v>758</v>
      </c>
      <c r="F132" s="252"/>
      <c r="G132" s="256"/>
      <c r="H132" s="257">
        <f>H133</f>
        <v>3.8</v>
      </c>
      <c r="I132" s="257">
        <f>I133</f>
        <v>0</v>
      </c>
      <c r="J132" s="257">
        <f t="shared" si="87"/>
        <v>3.8</v>
      </c>
      <c r="K132" s="257">
        <f>K133</f>
        <v>0</v>
      </c>
      <c r="L132" s="257">
        <f>L133</f>
        <v>0</v>
      </c>
      <c r="M132" s="257"/>
      <c r="N132" s="257">
        <f t="shared" si="89"/>
        <v>0</v>
      </c>
    </row>
    <row r="133" spans="1:14" ht="19.5" hidden="1" customHeight="1" x14ac:dyDescent="0.2">
      <c r="A133" s="259" t="s">
        <v>78</v>
      </c>
      <c r="B133" s="252" t="s">
        <v>73</v>
      </c>
      <c r="C133" s="252" t="s">
        <v>233</v>
      </c>
      <c r="D133" s="252" t="s">
        <v>190</v>
      </c>
      <c r="E133" s="251" t="s">
        <v>758</v>
      </c>
      <c r="F133" s="252" t="s">
        <v>79</v>
      </c>
      <c r="G133" s="256"/>
      <c r="H133" s="257">
        <v>3.8</v>
      </c>
      <c r="I133" s="257"/>
      <c r="J133" s="257">
        <f t="shared" si="87"/>
        <v>3.8</v>
      </c>
      <c r="K133" s="257">
        <v>0</v>
      </c>
      <c r="L133" s="257">
        <v>0</v>
      </c>
      <c r="M133" s="257"/>
      <c r="N133" s="257">
        <f t="shared" si="89"/>
        <v>0</v>
      </c>
    </row>
    <row r="134" spans="1:14" ht="19.5" hidden="1" customHeight="1" x14ac:dyDescent="0.2">
      <c r="A134" s="259" t="s">
        <v>78</v>
      </c>
      <c r="B134" s="252" t="s">
        <v>73</v>
      </c>
      <c r="C134" s="252" t="s">
        <v>233</v>
      </c>
      <c r="D134" s="252" t="s">
        <v>190</v>
      </c>
      <c r="E134" s="251" t="s">
        <v>955</v>
      </c>
      <c r="F134" s="252" t="s">
        <v>79</v>
      </c>
      <c r="G134" s="256"/>
      <c r="H134" s="257"/>
      <c r="I134" s="257"/>
      <c r="J134" s="257"/>
      <c r="K134" s="257"/>
      <c r="L134" s="257">
        <v>0</v>
      </c>
      <c r="M134" s="257">
        <v>0</v>
      </c>
      <c r="N134" s="257">
        <f t="shared" si="89"/>
        <v>0</v>
      </c>
    </row>
    <row r="135" spans="1:14" ht="15" customHeight="1" x14ac:dyDescent="0.2">
      <c r="A135" s="398" t="s">
        <v>235</v>
      </c>
      <c r="B135" s="250" t="s">
        <v>73</v>
      </c>
      <c r="C135" s="250" t="s">
        <v>233</v>
      </c>
      <c r="D135" s="250" t="s">
        <v>196</v>
      </c>
      <c r="E135" s="250"/>
      <c r="F135" s="250"/>
      <c r="G135" s="275">
        <f>G155+G166+G181+G196</f>
        <v>0</v>
      </c>
      <c r="H135" s="275">
        <f t="shared" ref="H135:L135" si="90">H181+H196</f>
        <v>6841</v>
      </c>
      <c r="I135" s="275">
        <f t="shared" si="90"/>
        <v>0</v>
      </c>
      <c r="J135" s="275">
        <f t="shared" si="90"/>
        <v>6841</v>
      </c>
      <c r="K135" s="275">
        <f t="shared" si="90"/>
        <v>98.134</v>
      </c>
      <c r="L135" s="275">
        <f t="shared" si="90"/>
        <v>7129</v>
      </c>
      <c r="M135" s="275">
        <f t="shared" ref="M135:N135" si="91">M181+M196</f>
        <v>-4</v>
      </c>
      <c r="N135" s="275">
        <f t="shared" si="91"/>
        <v>7125</v>
      </c>
    </row>
    <row r="136" spans="1:14" ht="31.5" hidden="1" customHeight="1" x14ac:dyDescent="0.2">
      <c r="A136" s="259" t="s">
        <v>123</v>
      </c>
      <c r="B136" s="252" t="s">
        <v>73</v>
      </c>
      <c r="C136" s="252" t="s">
        <v>233</v>
      </c>
      <c r="D136" s="252" t="s">
        <v>196</v>
      </c>
      <c r="E136" s="260" t="s">
        <v>332</v>
      </c>
      <c r="F136" s="252"/>
      <c r="G136" s="256"/>
      <c r="H136" s="256"/>
      <c r="I136" s="257" t="e">
        <f>I137</f>
        <v>#REF!</v>
      </c>
      <c r="J136" s="257" t="e">
        <f>J137</f>
        <v>#REF!</v>
      </c>
      <c r="K136" s="257" t="e">
        <f>K137</f>
        <v>#REF!</v>
      </c>
      <c r="L136" s="257" t="e">
        <f>L137</f>
        <v>#REF!</v>
      </c>
      <c r="M136" s="257" t="e">
        <f t="shared" ref="M136:N136" si="92">M137</f>
        <v>#REF!</v>
      </c>
      <c r="N136" s="257" t="e">
        <f t="shared" si="92"/>
        <v>#REF!</v>
      </c>
    </row>
    <row r="137" spans="1:14" ht="15" hidden="1" x14ac:dyDescent="0.2">
      <c r="A137" s="259" t="s">
        <v>333</v>
      </c>
      <c r="B137" s="252" t="s">
        <v>73</v>
      </c>
      <c r="C137" s="252" t="s">
        <v>233</v>
      </c>
      <c r="D137" s="252" t="s">
        <v>196</v>
      </c>
      <c r="E137" s="260" t="s">
        <v>334</v>
      </c>
      <c r="F137" s="252"/>
      <c r="G137" s="256"/>
      <c r="H137" s="256"/>
      <c r="I137" s="257" t="e">
        <f>I138+I142+I141+I139+I140</f>
        <v>#REF!</v>
      </c>
      <c r="J137" s="257" t="e">
        <f>J138+J142+J141+J139+J140</f>
        <v>#REF!</v>
      </c>
      <c r="K137" s="257" t="e">
        <f>K138+K142+K141+K139+K140</f>
        <v>#REF!</v>
      </c>
      <c r="L137" s="257" t="e">
        <f>L138+L142+L141+L139+L140</f>
        <v>#REF!</v>
      </c>
      <c r="M137" s="257" t="e">
        <f t="shared" ref="M137:N137" si="93">M138+M142+M141+M139+M140</f>
        <v>#REF!</v>
      </c>
      <c r="N137" s="257" t="e">
        <f t="shared" si="93"/>
        <v>#REF!</v>
      </c>
    </row>
    <row r="138" spans="1:14" ht="12.75" hidden="1" customHeight="1" x14ac:dyDescent="0.2">
      <c r="A138" s="259" t="s">
        <v>320</v>
      </c>
      <c r="B138" s="252" t="s">
        <v>73</v>
      </c>
      <c r="C138" s="252" t="s">
        <v>233</v>
      </c>
      <c r="D138" s="252" t="s">
        <v>196</v>
      </c>
      <c r="E138" s="260" t="s">
        <v>334</v>
      </c>
      <c r="F138" s="252" t="s">
        <v>321</v>
      </c>
      <c r="G138" s="256"/>
      <c r="H138" s="256"/>
      <c r="I138" s="257" t="e">
        <f>#REF!+G138</f>
        <v>#REF!</v>
      </c>
      <c r="J138" s="257" t="e">
        <f>#REF!+I138</f>
        <v>#REF!</v>
      </c>
      <c r="K138" s="257" t="e">
        <f>#REF!+I138</f>
        <v>#REF!</v>
      </c>
      <c r="L138" s="257" t="e">
        <f>F138+J138</f>
        <v>#REF!</v>
      </c>
      <c r="M138" s="257" t="e">
        <f t="shared" ref="M138:N138" si="94">G138+K138</f>
        <v>#REF!</v>
      </c>
      <c r="N138" s="257" t="e">
        <f t="shared" si="94"/>
        <v>#REF!</v>
      </c>
    </row>
    <row r="139" spans="1:14" ht="15" hidden="1" x14ac:dyDescent="0.2">
      <c r="A139" s="259" t="s">
        <v>95</v>
      </c>
      <c r="B139" s="252" t="s">
        <v>73</v>
      </c>
      <c r="C139" s="252" t="s">
        <v>233</v>
      </c>
      <c r="D139" s="252" t="s">
        <v>196</v>
      </c>
      <c r="E139" s="260" t="s">
        <v>334</v>
      </c>
      <c r="F139" s="252" t="s">
        <v>96</v>
      </c>
      <c r="G139" s="256"/>
      <c r="H139" s="256"/>
      <c r="I139" s="257">
        <v>-665</v>
      </c>
      <c r="J139" s="257">
        <f>G139+I139</f>
        <v>-665</v>
      </c>
      <c r="K139" s="257">
        <v>-665</v>
      </c>
      <c r="L139" s="257">
        <f>H139+J139</f>
        <v>-665</v>
      </c>
      <c r="M139" s="257">
        <f t="shared" ref="M139:N139" si="95">I139+K139</f>
        <v>-1330</v>
      </c>
      <c r="N139" s="257">
        <f t="shared" si="95"/>
        <v>-1330</v>
      </c>
    </row>
    <row r="140" spans="1:14" ht="12.75" hidden="1" customHeight="1" x14ac:dyDescent="0.2">
      <c r="A140" s="259" t="s">
        <v>97</v>
      </c>
      <c r="B140" s="252" t="s">
        <v>73</v>
      </c>
      <c r="C140" s="252" t="s">
        <v>233</v>
      </c>
      <c r="D140" s="252" t="s">
        <v>196</v>
      </c>
      <c r="E140" s="260" t="s">
        <v>334</v>
      </c>
      <c r="F140" s="252" t="s">
        <v>98</v>
      </c>
      <c r="G140" s="256"/>
      <c r="H140" s="256"/>
      <c r="I140" s="257" t="e">
        <f>#REF!+G140</f>
        <v>#REF!</v>
      </c>
      <c r="J140" s="257" t="e">
        <f>#REF!+I140</f>
        <v>#REF!</v>
      </c>
      <c r="K140" s="257" t="e">
        <f>#REF!+I140</f>
        <v>#REF!</v>
      </c>
      <c r="L140" s="257" t="e">
        <f>F140+J140</f>
        <v>#REF!</v>
      </c>
      <c r="M140" s="257" t="e">
        <f t="shared" ref="M140:N140" si="96">G140+K140</f>
        <v>#REF!</v>
      </c>
      <c r="N140" s="257" t="e">
        <f t="shared" si="96"/>
        <v>#REF!</v>
      </c>
    </row>
    <row r="141" spans="1:14" ht="12.75" hidden="1" customHeight="1" x14ac:dyDescent="0.2">
      <c r="A141" s="259" t="s">
        <v>63</v>
      </c>
      <c r="B141" s="252" t="s">
        <v>73</v>
      </c>
      <c r="C141" s="252" t="s">
        <v>233</v>
      </c>
      <c r="D141" s="252" t="s">
        <v>196</v>
      </c>
      <c r="E141" s="260" t="s">
        <v>334</v>
      </c>
      <c r="F141" s="252" t="s">
        <v>64</v>
      </c>
      <c r="G141" s="256"/>
      <c r="H141" s="256"/>
      <c r="I141" s="257" t="e">
        <f>#REF!+G141</f>
        <v>#REF!</v>
      </c>
      <c r="J141" s="257" t="e">
        <f>G141+I141</f>
        <v>#REF!</v>
      </c>
      <c r="K141" s="257" t="e">
        <f>H141+I141</f>
        <v>#REF!</v>
      </c>
      <c r="L141" s="257" t="e">
        <f>H141+J141</f>
        <v>#REF!</v>
      </c>
      <c r="M141" s="257" t="e">
        <f t="shared" ref="M141:N141" si="97">I141+K141</f>
        <v>#REF!</v>
      </c>
      <c r="N141" s="257" t="e">
        <f t="shared" si="97"/>
        <v>#REF!</v>
      </c>
    </row>
    <row r="142" spans="1:14" ht="12.75" hidden="1" customHeight="1" x14ac:dyDescent="0.2">
      <c r="A142" s="259" t="s">
        <v>302</v>
      </c>
      <c r="B142" s="252" t="s">
        <v>73</v>
      </c>
      <c r="C142" s="252" t="s">
        <v>233</v>
      </c>
      <c r="D142" s="252" t="s">
        <v>196</v>
      </c>
      <c r="E142" s="260" t="s">
        <v>124</v>
      </c>
      <c r="F142" s="252" t="s">
        <v>321</v>
      </c>
      <c r="G142" s="256"/>
      <c r="H142" s="256"/>
      <c r="I142" s="257" t="e">
        <f>#REF!+G142</f>
        <v>#REF!</v>
      </c>
      <c r="J142" s="257" t="e">
        <f>#REF!+I142</f>
        <v>#REF!</v>
      </c>
      <c r="K142" s="257" t="e">
        <f>#REF!+I142</f>
        <v>#REF!</v>
      </c>
      <c r="L142" s="257" t="e">
        <f>F142+J142</f>
        <v>#REF!</v>
      </c>
      <c r="M142" s="257" t="e">
        <f t="shared" ref="M142:N143" si="98">G142+K142</f>
        <v>#REF!</v>
      </c>
      <c r="N142" s="257" t="e">
        <f t="shared" si="98"/>
        <v>#REF!</v>
      </c>
    </row>
    <row r="143" spans="1:14" ht="25.5" hidden="1" customHeight="1" x14ac:dyDescent="0.2">
      <c r="A143" s="259" t="s">
        <v>125</v>
      </c>
      <c r="B143" s="252" t="s">
        <v>73</v>
      </c>
      <c r="C143" s="252" t="s">
        <v>233</v>
      </c>
      <c r="D143" s="252" t="s">
        <v>196</v>
      </c>
      <c r="E143" s="252" t="s">
        <v>126</v>
      </c>
      <c r="F143" s="252"/>
      <c r="G143" s="256"/>
      <c r="H143" s="256"/>
      <c r="I143" s="257" t="e">
        <f>#REF!+G143</f>
        <v>#REF!</v>
      </c>
      <c r="J143" s="257" t="e">
        <f>#REF!+I143</f>
        <v>#REF!</v>
      </c>
      <c r="K143" s="257" t="e">
        <f>#REF!+I143</f>
        <v>#REF!</v>
      </c>
      <c r="L143" s="257" t="e">
        <f>F143+J143</f>
        <v>#REF!</v>
      </c>
      <c r="M143" s="257" t="e">
        <f t="shared" si="98"/>
        <v>#REF!</v>
      </c>
      <c r="N143" s="257" t="e">
        <f t="shared" si="98"/>
        <v>#REF!</v>
      </c>
    </row>
    <row r="144" spans="1:14" ht="38.25" hidden="1" customHeight="1" x14ac:dyDescent="0.2">
      <c r="A144" s="259" t="s">
        <v>335</v>
      </c>
      <c r="B144" s="252" t="s">
        <v>73</v>
      </c>
      <c r="C144" s="252" t="s">
        <v>233</v>
      </c>
      <c r="D144" s="252" t="s">
        <v>196</v>
      </c>
      <c r="E144" s="252" t="s">
        <v>336</v>
      </c>
      <c r="F144" s="252"/>
      <c r="G144" s="256"/>
      <c r="H144" s="256"/>
      <c r="I144" s="257" t="e">
        <f>I145</f>
        <v>#REF!</v>
      </c>
      <c r="J144" s="257" t="e">
        <f>J145</f>
        <v>#REF!</v>
      </c>
      <c r="K144" s="257" t="e">
        <f>K145</f>
        <v>#REF!</v>
      </c>
      <c r="L144" s="257" t="e">
        <f>L145</f>
        <v>#REF!</v>
      </c>
      <c r="M144" s="257" t="e">
        <f t="shared" ref="M144:N144" si="99">M145</f>
        <v>#REF!</v>
      </c>
      <c r="N144" s="257" t="e">
        <f t="shared" si="99"/>
        <v>#REF!</v>
      </c>
    </row>
    <row r="145" spans="1:14" ht="15" hidden="1" x14ac:dyDescent="0.2">
      <c r="A145" s="259" t="s">
        <v>299</v>
      </c>
      <c r="B145" s="252" t="s">
        <v>73</v>
      </c>
      <c r="C145" s="252" t="s">
        <v>233</v>
      </c>
      <c r="D145" s="252" t="s">
        <v>196</v>
      </c>
      <c r="E145" s="252" t="s">
        <v>337</v>
      </c>
      <c r="F145" s="252"/>
      <c r="G145" s="256"/>
      <c r="H145" s="256"/>
      <c r="I145" s="257" t="e">
        <f>I146+I147+I148+I149+I150+I152+I153+I154+I151</f>
        <v>#REF!</v>
      </c>
      <c r="J145" s="257" t="e">
        <f>J146+J147+J148+J149+J150+J152+J153+J154+J151</f>
        <v>#REF!</v>
      </c>
      <c r="K145" s="257" t="e">
        <f>K146+K147+K148+K149+K150+K152+K153+K154+K151</f>
        <v>#REF!</v>
      </c>
      <c r="L145" s="257" t="e">
        <f>L146+L147+L148+L149+L150+L152+L153+L154+L151</f>
        <v>#REF!</v>
      </c>
      <c r="M145" s="257" t="e">
        <f t="shared" ref="M145:N145" si="100">M146+M147+M148+M149+M150+M152+M153+M154+M151</f>
        <v>#REF!</v>
      </c>
      <c r="N145" s="257" t="e">
        <f t="shared" si="100"/>
        <v>#REF!</v>
      </c>
    </row>
    <row r="146" spans="1:14" ht="12.75" hidden="1" customHeight="1" x14ac:dyDescent="0.2">
      <c r="A146" s="259" t="s">
        <v>300</v>
      </c>
      <c r="B146" s="252" t="s">
        <v>73</v>
      </c>
      <c r="C146" s="252" t="s">
        <v>233</v>
      </c>
      <c r="D146" s="252" t="s">
        <v>196</v>
      </c>
      <c r="E146" s="252" t="s">
        <v>337</v>
      </c>
      <c r="F146" s="252" t="s">
        <v>301</v>
      </c>
      <c r="G146" s="256"/>
      <c r="H146" s="256"/>
      <c r="I146" s="257" t="e">
        <f>#REF!+G146</f>
        <v>#REF!</v>
      </c>
      <c r="J146" s="257" t="e">
        <f>G146+I146</f>
        <v>#REF!</v>
      </c>
      <c r="K146" s="257" t="e">
        <f>H146+I146</f>
        <v>#REF!</v>
      </c>
      <c r="L146" s="257" t="e">
        <f t="shared" ref="L146:L148" si="101">H146+J146</f>
        <v>#REF!</v>
      </c>
      <c r="M146" s="257" t="e">
        <f t="shared" ref="M146:M148" si="102">I146+K146</f>
        <v>#REF!</v>
      </c>
      <c r="N146" s="257" t="e">
        <f t="shared" ref="N146:N148" si="103">J146+L146</f>
        <v>#REF!</v>
      </c>
    </row>
    <row r="147" spans="1:14" ht="15" hidden="1" x14ac:dyDescent="0.2">
      <c r="A147" s="259" t="s">
        <v>95</v>
      </c>
      <c r="B147" s="252" t="s">
        <v>73</v>
      </c>
      <c r="C147" s="252" t="s">
        <v>233</v>
      </c>
      <c r="D147" s="252" t="s">
        <v>196</v>
      </c>
      <c r="E147" s="252" t="s">
        <v>337</v>
      </c>
      <c r="F147" s="252" t="s">
        <v>96</v>
      </c>
      <c r="G147" s="256"/>
      <c r="H147" s="256"/>
      <c r="I147" s="257" t="e">
        <f>#REF!+G147</f>
        <v>#REF!</v>
      </c>
      <c r="J147" s="257" t="e">
        <f>G147+I147</f>
        <v>#REF!</v>
      </c>
      <c r="K147" s="257" t="e">
        <f>H147+I147</f>
        <v>#REF!</v>
      </c>
      <c r="L147" s="257" t="e">
        <f t="shared" si="101"/>
        <v>#REF!</v>
      </c>
      <c r="M147" s="257" t="e">
        <f t="shared" si="102"/>
        <v>#REF!</v>
      </c>
      <c r="N147" s="257" t="e">
        <f t="shared" si="103"/>
        <v>#REF!</v>
      </c>
    </row>
    <row r="148" spans="1:14" ht="15" hidden="1" x14ac:dyDescent="0.2">
      <c r="A148" s="259" t="s">
        <v>97</v>
      </c>
      <c r="B148" s="252" t="s">
        <v>73</v>
      </c>
      <c r="C148" s="252" t="s">
        <v>233</v>
      </c>
      <c r="D148" s="252" t="s">
        <v>196</v>
      </c>
      <c r="E148" s="252" t="s">
        <v>337</v>
      </c>
      <c r="F148" s="252" t="s">
        <v>98</v>
      </c>
      <c r="G148" s="256"/>
      <c r="H148" s="256"/>
      <c r="I148" s="257" t="e">
        <f>#REF!+G148</f>
        <v>#REF!</v>
      </c>
      <c r="J148" s="257" t="e">
        <f>G148+I148</f>
        <v>#REF!</v>
      </c>
      <c r="K148" s="257" t="e">
        <f>H148+I148</f>
        <v>#REF!</v>
      </c>
      <c r="L148" s="257" t="e">
        <f t="shared" si="101"/>
        <v>#REF!</v>
      </c>
      <c r="M148" s="257" t="e">
        <f t="shared" si="102"/>
        <v>#REF!</v>
      </c>
      <c r="N148" s="257" t="e">
        <f t="shared" si="103"/>
        <v>#REF!</v>
      </c>
    </row>
    <row r="149" spans="1:14" ht="25.5" hidden="1" customHeight="1" x14ac:dyDescent="0.2">
      <c r="A149" s="259" t="s">
        <v>99</v>
      </c>
      <c r="B149" s="252" t="s">
        <v>73</v>
      </c>
      <c r="C149" s="252" t="s">
        <v>233</v>
      </c>
      <c r="D149" s="252" t="s">
        <v>196</v>
      </c>
      <c r="E149" s="252" t="s">
        <v>337</v>
      </c>
      <c r="F149" s="252" t="s">
        <v>100</v>
      </c>
      <c r="G149" s="256"/>
      <c r="H149" s="256"/>
      <c r="I149" s="257" t="e">
        <f>#REF!+G149</f>
        <v>#REF!</v>
      </c>
      <c r="J149" s="257" t="e">
        <f>#REF!+I149</f>
        <v>#REF!</v>
      </c>
      <c r="K149" s="257" t="e">
        <f>#REF!+I149</f>
        <v>#REF!</v>
      </c>
      <c r="L149" s="257" t="e">
        <f>F149+J149</f>
        <v>#REF!</v>
      </c>
      <c r="M149" s="257" t="e">
        <f t="shared" ref="M149:N150" si="104">G149+K149</f>
        <v>#REF!</v>
      </c>
      <c r="N149" s="257" t="e">
        <f t="shared" si="104"/>
        <v>#REF!</v>
      </c>
    </row>
    <row r="150" spans="1:14" ht="25.5" hidden="1" customHeight="1" x14ac:dyDescent="0.2">
      <c r="A150" s="259" t="s">
        <v>101</v>
      </c>
      <c r="B150" s="252" t="s">
        <v>73</v>
      </c>
      <c r="C150" s="252" t="s">
        <v>233</v>
      </c>
      <c r="D150" s="252" t="s">
        <v>196</v>
      </c>
      <c r="E150" s="252" t="s">
        <v>337</v>
      </c>
      <c r="F150" s="252" t="s">
        <v>102</v>
      </c>
      <c r="G150" s="256"/>
      <c r="H150" s="256"/>
      <c r="I150" s="257" t="e">
        <f>#REF!+G150</f>
        <v>#REF!</v>
      </c>
      <c r="J150" s="257" t="e">
        <f>#REF!+I150</f>
        <v>#REF!</v>
      </c>
      <c r="K150" s="257" t="e">
        <f>#REF!+I150</f>
        <v>#REF!</v>
      </c>
      <c r="L150" s="257" t="e">
        <f>F150+J150</f>
        <v>#REF!</v>
      </c>
      <c r="M150" s="257" t="e">
        <f t="shared" si="104"/>
        <v>#REF!</v>
      </c>
      <c r="N150" s="257" t="e">
        <f t="shared" si="104"/>
        <v>#REF!</v>
      </c>
    </row>
    <row r="151" spans="1:14" ht="25.5" hidden="1" customHeight="1" x14ac:dyDescent="0.25">
      <c r="A151" s="357" t="s">
        <v>99</v>
      </c>
      <c r="B151" s="252" t="s">
        <v>73</v>
      </c>
      <c r="C151" s="252" t="s">
        <v>233</v>
      </c>
      <c r="D151" s="252" t="s">
        <v>196</v>
      </c>
      <c r="E151" s="252" t="s">
        <v>337</v>
      </c>
      <c r="F151" s="252" t="s">
        <v>100</v>
      </c>
      <c r="G151" s="256"/>
      <c r="H151" s="256"/>
      <c r="I151" s="257">
        <f>G151</f>
        <v>0</v>
      </c>
      <c r="J151" s="257">
        <f>I151</f>
        <v>0</v>
      </c>
      <c r="K151" s="257">
        <f>I151</f>
        <v>0</v>
      </c>
      <c r="L151" s="257">
        <f>J151</f>
        <v>0</v>
      </c>
      <c r="M151" s="257">
        <f t="shared" ref="M151:N151" si="105">K151</f>
        <v>0</v>
      </c>
      <c r="N151" s="257">
        <f t="shared" si="105"/>
        <v>0</v>
      </c>
    </row>
    <row r="152" spans="1:14" ht="15" hidden="1" x14ac:dyDescent="0.2">
      <c r="A152" s="259" t="s">
        <v>93</v>
      </c>
      <c r="B152" s="252" t="s">
        <v>73</v>
      </c>
      <c r="C152" s="252" t="s">
        <v>233</v>
      </c>
      <c r="D152" s="252" t="s">
        <v>196</v>
      </c>
      <c r="E152" s="252" t="s">
        <v>337</v>
      </c>
      <c r="F152" s="252" t="s">
        <v>94</v>
      </c>
      <c r="G152" s="256"/>
      <c r="H152" s="256"/>
      <c r="I152" s="257" t="e">
        <f>#REF!+G152</f>
        <v>#REF!</v>
      </c>
      <c r="J152" s="257" t="e">
        <f>G152+I152</f>
        <v>#REF!</v>
      </c>
      <c r="K152" s="257" t="e">
        <f>H152+I152</f>
        <v>#REF!</v>
      </c>
      <c r="L152" s="257" t="e">
        <f t="shared" ref="L152:L154" si="106">H152+J152</f>
        <v>#REF!</v>
      </c>
      <c r="M152" s="257" t="e">
        <f t="shared" ref="M152:M154" si="107">I152+K152</f>
        <v>#REF!</v>
      </c>
      <c r="N152" s="257" t="e">
        <f t="shared" ref="N152:N154" si="108">J152+L152</f>
        <v>#REF!</v>
      </c>
    </row>
    <row r="153" spans="1:14" ht="15" hidden="1" x14ac:dyDescent="0.2">
      <c r="A153" s="259" t="s">
        <v>103</v>
      </c>
      <c r="B153" s="252" t="s">
        <v>73</v>
      </c>
      <c r="C153" s="252" t="s">
        <v>233</v>
      </c>
      <c r="D153" s="252" t="s">
        <v>196</v>
      </c>
      <c r="E153" s="252" t="s">
        <v>337</v>
      </c>
      <c r="F153" s="252" t="s">
        <v>104</v>
      </c>
      <c r="G153" s="256"/>
      <c r="H153" s="256"/>
      <c r="I153" s="257" t="e">
        <f>#REF!+G153</f>
        <v>#REF!</v>
      </c>
      <c r="J153" s="257" t="e">
        <f>G153+I153</f>
        <v>#REF!</v>
      </c>
      <c r="K153" s="257" t="e">
        <f>H153+I153</f>
        <v>#REF!</v>
      </c>
      <c r="L153" s="257" t="e">
        <f t="shared" si="106"/>
        <v>#REF!</v>
      </c>
      <c r="M153" s="257" t="e">
        <f t="shared" si="107"/>
        <v>#REF!</v>
      </c>
      <c r="N153" s="257" t="e">
        <f t="shared" si="108"/>
        <v>#REF!</v>
      </c>
    </row>
    <row r="154" spans="1:14" ht="15" hidden="1" x14ac:dyDescent="0.2">
      <c r="A154" s="259" t="s">
        <v>105</v>
      </c>
      <c r="B154" s="252" t="s">
        <v>73</v>
      </c>
      <c r="C154" s="252" t="s">
        <v>233</v>
      </c>
      <c r="D154" s="252" t="s">
        <v>196</v>
      </c>
      <c r="E154" s="252" t="s">
        <v>337</v>
      </c>
      <c r="F154" s="252" t="s">
        <v>106</v>
      </c>
      <c r="G154" s="256"/>
      <c r="H154" s="256"/>
      <c r="I154" s="257" t="e">
        <f>#REF!+G154</f>
        <v>#REF!</v>
      </c>
      <c r="J154" s="257" t="e">
        <f>G154+I154</f>
        <v>#REF!</v>
      </c>
      <c r="K154" s="257" t="e">
        <f>H154+I154</f>
        <v>#REF!</v>
      </c>
      <c r="L154" s="257" t="e">
        <f t="shared" si="106"/>
        <v>#REF!</v>
      </c>
      <c r="M154" s="257" t="e">
        <f t="shared" si="107"/>
        <v>#REF!</v>
      </c>
      <c r="N154" s="257" t="e">
        <f t="shared" si="108"/>
        <v>#REF!</v>
      </c>
    </row>
    <row r="155" spans="1:14" s="242" customFormat="1" ht="43.5" hidden="1" customHeight="1" x14ac:dyDescent="0.2">
      <c r="A155" s="259" t="s">
        <v>985</v>
      </c>
      <c r="B155" s="252" t="s">
        <v>73</v>
      </c>
      <c r="C155" s="252" t="s">
        <v>233</v>
      </c>
      <c r="D155" s="252" t="s">
        <v>196</v>
      </c>
      <c r="E155" s="251" t="s">
        <v>454</v>
      </c>
      <c r="F155" s="252"/>
      <c r="G155" s="256"/>
      <c r="H155" s="256"/>
      <c r="I155" s="257">
        <f>I156+I158</f>
        <v>-3535.64</v>
      </c>
      <c r="J155" s="257" t="e">
        <f>J156+J158</f>
        <v>#REF!</v>
      </c>
      <c r="K155" s="257">
        <f>K156+K158</f>
        <v>-3535.64</v>
      </c>
      <c r="L155" s="257" t="e">
        <f>L156+L158</f>
        <v>#REF!</v>
      </c>
      <c r="M155" s="257" t="e">
        <f t="shared" ref="M155:N155" si="109">M156+M158</f>
        <v>#REF!</v>
      </c>
      <c r="N155" s="257" t="e">
        <f t="shared" si="109"/>
        <v>#REF!</v>
      </c>
    </row>
    <row r="156" spans="1:14" s="242" customFormat="1" ht="30" hidden="1" customHeight="1" x14ac:dyDescent="0.2">
      <c r="A156" s="259" t="s">
        <v>975</v>
      </c>
      <c r="B156" s="252" t="s">
        <v>73</v>
      </c>
      <c r="C156" s="252" t="s">
        <v>233</v>
      </c>
      <c r="D156" s="252" t="s">
        <v>196</v>
      </c>
      <c r="E156" s="251" t="s">
        <v>453</v>
      </c>
      <c r="F156" s="252"/>
      <c r="G156" s="256"/>
      <c r="H156" s="256"/>
      <c r="I156" s="257">
        <f>I157</f>
        <v>-736.9</v>
      </c>
      <c r="J156" s="257" t="e">
        <f>J157</f>
        <v>#REF!</v>
      </c>
      <c r="K156" s="257">
        <f>K157</f>
        <v>-736.9</v>
      </c>
      <c r="L156" s="257" t="e">
        <f>L157</f>
        <v>#REF!</v>
      </c>
      <c r="M156" s="257" t="e">
        <f t="shared" ref="M156:N156" si="110">M157</f>
        <v>#REF!</v>
      </c>
      <c r="N156" s="257" t="e">
        <f t="shared" si="110"/>
        <v>#REF!</v>
      </c>
    </row>
    <row r="157" spans="1:14" s="242" customFormat="1" ht="18.75" hidden="1" customHeight="1" x14ac:dyDescent="0.2">
      <c r="A157" s="259" t="s">
        <v>95</v>
      </c>
      <c r="B157" s="252" t="s">
        <v>73</v>
      </c>
      <c r="C157" s="252" t="s">
        <v>233</v>
      </c>
      <c r="D157" s="252" t="s">
        <v>196</v>
      </c>
      <c r="E157" s="251" t="s">
        <v>453</v>
      </c>
      <c r="F157" s="252" t="s">
        <v>96</v>
      </c>
      <c r="G157" s="256"/>
      <c r="H157" s="256"/>
      <c r="I157" s="257">
        <v>-736.9</v>
      </c>
      <c r="J157" s="257" t="e">
        <f>#REF!+I157</f>
        <v>#REF!</v>
      </c>
      <c r="K157" s="257">
        <v>-736.9</v>
      </c>
      <c r="L157" s="257" t="e">
        <f>#REF!+J157</f>
        <v>#REF!</v>
      </c>
      <c r="M157" s="257" t="e">
        <f>#REF!+K157</f>
        <v>#REF!</v>
      </c>
      <c r="N157" s="257" t="e">
        <f>#REF!+L157</f>
        <v>#REF!</v>
      </c>
    </row>
    <row r="158" spans="1:14" s="242" customFormat="1" ht="30" hidden="1" customHeight="1" x14ac:dyDescent="0.2">
      <c r="A158" s="259" t="s">
        <v>986</v>
      </c>
      <c r="B158" s="252" t="s">
        <v>73</v>
      </c>
      <c r="C158" s="252" t="s">
        <v>233</v>
      </c>
      <c r="D158" s="252" t="s">
        <v>196</v>
      </c>
      <c r="E158" s="251" t="s">
        <v>481</v>
      </c>
      <c r="F158" s="252"/>
      <c r="G158" s="256"/>
      <c r="H158" s="256"/>
      <c r="I158" s="257">
        <f>I159+I161+I162+I163+I164+I165+I160</f>
        <v>-2798.74</v>
      </c>
      <c r="J158" s="257" t="e">
        <f>J159+J161+J162+J163+J164+J165+J160</f>
        <v>#REF!</v>
      </c>
      <c r="K158" s="257">
        <f>K159+K161+K162+K163+K164+K165+K160</f>
        <v>-2798.74</v>
      </c>
      <c r="L158" s="257" t="e">
        <f>L159+L161+L162+L163+L164+L165+L160</f>
        <v>#REF!</v>
      </c>
      <c r="M158" s="257" t="e">
        <f t="shared" ref="M158:N158" si="111">M159+M161+M162+M163+M164+M165+M160</f>
        <v>#REF!</v>
      </c>
      <c r="N158" s="257" t="e">
        <f t="shared" si="111"/>
        <v>#REF!</v>
      </c>
    </row>
    <row r="159" spans="1:14" s="242" customFormat="1" ht="15" hidden="1" customHeight="1" x14ac:dyDescent="0.2">
      <c r="A159" s="259" t="s">
        <v>95</v>
      </c>
      <c r="B159" s="252" t="s">
        <v>73</v>
      </c>
      <c r="C159" s="252" t="s">
        <v>233</v>
      </c>
      <c r="D159" s="252" t="s">
        <v>196</v>
      </c>
      <c r="E159" s="251" t="s">
        <v>481</v>
      </c>
      <c r="F159" s="252" t="s">
        <v>96</v>
      </c>
      <c r="G159" s="256"/>
      <c r="H159" s="256"/>
      <c r="I159" s="257">
        <v>-2211.37</v>
      </c>
      <c r="J159" s="257" t="e">
        <f>#REF!+I159</f>
        <v>#REF!</v>
      </c>
      <c r="K159" s="257">
        <v>-2211.37</v>
      </c>
      <c r="L159" s="257" t="e">
        <f>#REF!+J159</f>
        <v>#REF!</v>
      </c>
      <c r="M159" s="257" t="e">
        <f>#REF!+K159</f>
        <v>#REF!</v>
      </c>
      <c r="N159" s="257" t="e">
        <f>#REF!+L159</f>
        <v>#REF!</v>
      </c>
    </row>
    <row r="160" spans="1:14" s="242" customFormat="1" ht="21" hidden="1" customHeight="1" x14ac:dyDescent="0.2">
      <c r="A160" s="259" t="s">
        <v>495</v>
      </c>
      <c r="B160" s="252" t="s">
        <v>73</v>
      </c>
      <c r="C160" s="252" t="s">
        <v>233</v>
      </c>
      <c r="D160" s="252" t="s">
        <v>196</v>
      </c>
      <c r="E160" s="251" t="s">
        <v>491</v>
      </c>
      <c r="F160" s="252" t="s">
        <v>96</v>
      </c>
      <c r="G160" s="256"/>
      <c r="H160" s="256"/>
      <c r="I160" s="257">
        <v>0</v>
      </c>
      <c r="J160" s="257" t="e">
        <f>#REF!+I160</f>
        <v>#REF!</v>
      </c>
      <c r="K160" s="257">
        <v>0</v>
      </c>
      <c r="L160" s="257" t="e">
        <f>#REF!+J160</f>
        <v>#REF!</v>
      </c>
      <c r="M160" s="257" t="e">
        <f>#REF!+K160</f>
        <v>#REF!</v>
      </c>
      <c r="N160" s="257" t="e">
        <f>#REF!+L160</f>
        <v>#REF!</v>
      </c>
    </row>
    <row r="161" spans="1:14" s="242" customFormat="1" ht="18" hidden="1" customHeight="1" x14ac:dyDescent="0.2">
      <c r="A161" s="259" t="s">
        <v>97</v>
      </c>
      <c r="B161" s="252" t="s">
        <v>73</v>
      </c>
      <c r="C161" s="252" t="s">
        <v>233</v>
      </c>
      <c r="D161" s="252" t="s">
        <v>196</v>
      </c>
      <c r="E161" s="251" t="s">
        <v>481</v>
      </c>
      <c r="F161" s="252" t="s">
        <v>98</v>
      </c>
      <c r="G161" s="256"/>
      <c r="H161" s="256"/>
      <c r="I161" s="257">
        <v>-106</v>
      </c>
      <c r="J161" s="257" t="e">
        <f>#REF!+I161</f>
        <v>#REF!</v>
      </c>
      <c r="K161" s="257">
        <v>-106</v>
      </c>
      <c r="L161" s="257" t="e">
        <f>#REF!+J161</f>
        <v>#REF!</v>
      </c>
      <c r="M161" s="257" t="e">
        <f>#REF!+K161</f>
        <v>#REF!</v>
      </c>
      <c r="N161" s="257" t="e">
        <f>#REF!+L161</f>
        <v>#REF!</v>
      </c>
    </row>
    <row r="162" spans="1:14" s="242" customFormat="1" ht="21.75" hidden="1" customHeight="1" x14ac:dyDescent="0.2">
      <c r="A162" s="259" t="s">
        <v>99</v>
      </c>
      <c r="B162" s="252" t="s">
        <v>73</v>
      </c>
      <c r="C162" s="252" t="s">
        <v>233</v>
      </c>
      <c r="D162" s="252" t="s">
        <v>196</v>
      </c>
      <c r="E162" s="251" t="s">
        <v>481</v>
      </c>
      <c r="F162" s="252" t="s">
        <v>100</v>
      </c>
      <c r="G162" s="256"/>
      <c r="H162" s="256"/>
      <c r="I162" s="257">
        <v>-80</v>
      </c>
      <c r="J162" s="257" t="e">
        <f>#REF!+I162</f>
        <v>#REF!</v>
      </c>
      <c r="K162" s="257">
        <v>-80</v>
      </c>
      <c r="L162" s="257" t="e">
        <f>#REF!+J162</f>
        <v>#REF!</v>
      </c>
      <c r="M162" s="257" t="e">
        <f>#REF!+K162</f>
        <v>#REF!</v>
      </c>
      <c r="N162" s="257" t="e">
        <f>#REF!+L162</f>
        <v>#REF!</v>
      </c>
    </row>
    <row r="163" spans="1:14" s="242" customFormat="1" ht="20.25" hidden="1" customHeight="1" x14ac:dyDescent="0.2">
      <c r="A163" s="259" t="s">
        <v>93</v>
      </c>
      <c r="B163" s="252" t="s">
        <v>73</v>
      </c>
      <c r="C163" s="252" t="s">
        <v>233</v>
      </c>
      <c r="D163" s="252" t="s">
        <v>196</v>
      </c>
      <c r="E163" s="251" t="s">
        <v>481</v>
      </c>
      <c r="F163" s="252" t="s">
        <v>94</v>
      </c>
      <c r="G163" s="256"/>
      <c r="H163" s="256"/>
      <c r="I163" s="257">
        <v>-350</v>
      </c>
      <c r="J163" s="257" t="e">
        <f>#REF!+I163</f>
        <v>#REF!</v>
      </c>
      <c r="K163" s="257">
        <v>-350</v>
      </c>
      <c r="L163" s="257" t="e">
        <f>#REF!+J163</f>
        <v>#REF!</v>
      </c>
      <c r="M163" s="257" t="e">
        <f>#REF!+K163</f>
        <v>#REF!</v>
      </c>
      <c r="N163" s="257" t="e">
        <f>#REF!+L163</f>
        <v>#REF!</v>
      </c>
    </row>
    <row r="164" spans="1:14" s="242" customFormat="1" ht="18.75" hidden="1" customHeight="1" x14ac:dyDescent="0.2">
      <c r="A164" s="259" t="s">
        <v>103</v>
      </c>
      <c r="B164" s="252" t="s">
        <v>73</v>
      </c>
      <c r="C164" s="252" t="s">
        <v>233</v>
      </c>
      <c r="D164" s="252" t="s">
        <v>196</v>
      </c>
      <c r="E164" s="251" t="s">
        <v>481</v>
      </c>
      <c r="F164" s="252" t="s">
        <v>104</v>
      </c>
      <c r="G164" s="256"/>
      <c r="H164" s="256"/>
      <c r="I164" s="257">
        <v>-16</v>
      </c>
      <c r="J164" s="257" t="e">
        <f>#REF!+I164</f>
        <v>#REF!</v>
      </c>
      <c r="K164" s="257">
        <v>-16</v>
      </c>
      <c r="L164" s="257" t="e">
        <f>#REF!+J164</f>
        <v>#REF!</v>
      </c>
      <c r="M164" s="257" t="e">
        <f>#REF!+K164</f>
        <v>#REF!</v>
      </c>
      <c r="N164" s="257" t="e">
        <f>#REF!+L164</f>
        <v>#REF!</v>
      </c>
    </row>
    <row r="165" spans="1:14" s="242" customFormat="1" ht="18.75" hidden="1" customHeight="1" x14ac:dyDescent="0.2">
      <c r="A165" s="259" t="s">
        <v>105</v>
      </c>
      <c r="B165" s="252" t="s">
        <v>73</v>
      </c>
      <c r="C165" s="252" t="s">
        <v>233</v>
      </c>
      <c r="D165" s="252" t="s">
        <v>196</v>
      </c>
      <c r="E165" s="251" t="s">
        <v>481</v>
      </c>
      <c r="F165" s="252" t="s">
        <v>106</v>
      </c>
      <c r="G165" s="256"/>
      <c r="H165" s="256"/>
      <c r="I165" s="257">
        <v>-35.369999999999997</v>
      </c>
      <c r="J165" s="257" t="e">
        <f>#REF!+I165</f>
        <v>#REF!</v>
      </c>
      <c r="K165" s="257">
        <v>-35.369999999999997</v>
      </c>
      <c r="L165" s="257" t="e">
        <f>#REF!+J165</f>
        <v>#REF!</v>
      </c>
      <c r="M165" s="257" t="e">
        <f>#REF!+K165</f>
        <v>#REF!</v>
      </c>
      <c r="N165" s="257" t="e">
        <f>#REF!+L165</f>
        <v>#REF!</v>
      </c>
    </row>
    <row r="166" spans="1:14" s="242" customFormat="1" ht="27.75" hidden="1" customHeight="1" x14ac:dyDescent="0.2">
      <c r="A166" s="259" t="s">
        <v>997</v>
      </c>
      <c r="B166" s="252" t="s">
        <v>73</v>
      </c>
      <c r="C166" s="252" t="s">
        <v>233</v>
      </c>
      <c r="D166" s="252" t="s">
        <v>196</v>
      </c>
      <c r="E166" s="251" t="s">
        <v>448</v>
      </c>
      <c r="F166" s="252"/>
      <c r="G166" s="256"/>
      <c r="H166" s="256"/>
      <c r="I166" s="257">
        <f>I167</f>
        <v>-1000</v>
      </c>
      <c r="J166" s="257" t="e">
        <f>J167</f>
        <v>#REF!</v>
      </c>
      <c r="K166" s="257">
        <f>K167</f>
        <v>-1000</v>
      </c>
      <c r="L166" s="257" t="e">
        <f>L167</f>
        <v>#REF!</v>
      </c>
      <c r="M166" s="257" t="e">
        <f t="shared" ref="M166:N166" si="112">M167</f>
        <v>#REF!</v>
      </c>
      <c r="N166" s="257" t="e">
        <f t="shared" si="112"/>
        <v>#REF!</v>
      </c>
    </row>
    <row r="167" spans="1:14" s="242" customFormat="1" ht="21" hidden="1" customHeight="1" x14ac:dyDescent="0.2">
      <c r="A167" s="259" t="s">
        <v>93</v>
      </c>
      <c r="B167" s="252" t="s">
        <v>73</v>
      </c>
      <c r="C167" s="252" t="s">
        <v>233</v>
      </c>
      <c r="D167" s="252" t="s">
        <v>196</v>
      </c>
      <c r="E167" s="251" t="s">
        <v>448</v>
      </c>
      <c r="F167" s="252" t="s">
        <v>94</v>
      </c>
      <c r="G167" s="256"/>
      <c r="H167" s="256"/>
      <c r="I167" s="257">
        <v>-1000</v>
      </c>
      <c r="J167" s="257" t="e">
        <f>#REF!+I167</f>
        <v>#REF!</v>
      </c>
      <c r="K167" s="257">
        <v>-1000</v>
      </c>
      <c r="L167" s="257" t="e">
        <f>#REF!+J167</f>
        <v>#REF!</v>
      </c>
      <c r="M167" s="257" t="e">
        <f>#REF!+K167</f>
        <v>#REF!</v>
      </c>
      <c r="N167" s="257" t="e">
        <f>#REF!+L167</f>
        <v>#REF!</v>
      </c>
    </row>
    <row r="168" spans="1:14" s="242" customFormat="1" ht="16.5" hidden="1" customHeight="1" x14ac:dyDescent="0.2">
      <c r="A168" s="259" t="s">
        <v>404</v>
      </c>
      <c r="B168" s="252" t="s">
        <v>73</v>
      </c>
      <c r="C168" s="252" t="s">
        <v>233</v>
      </c>
      <c r="D168" s="252" t="s">
        <v>196</v>
      </c>
      <c r="E168" s="251" t="s">
        <v>62</v>
      </c>
      <c r="F168" s="252"/>
      <c r="G168" s="256"/>
      <c r="H168" s="256"/>
      <c r="I168" s="257">
        <f>I169</f>
        <v>-5377.74</v>
      </c>
      <c r="J168" s="257">
        <f>J169</f>
        <v>-5377.74</v>
      </c>
      <c r="K168" s="257">
        <f>K169</f>
        <v>-5377.74</v>
      </c>
      <c r="L168" s="257">
        <f>L169</f>
        <v>-5377.74</v>
      </c>
      <c r="M168" s="257">
        <f t="shared" ref="M168:N168" si="113">M169</f>
        <v>-10755.48</v>
      </c>
      <c r="N168" s="257">
        <f t="shared" si="113"/>
        <v>-10755.48</v>
      </c>
    </row>
    <row r="169" spans="1:14" s="242" customFormat="1" ht="20.25" hidden="1" customHeight="1" x14ac:dyDescent="0.2">
      <c r="A169" s="259" t="s">
        <v>421</v>
      </c>
      <c r="B169" s="252" t="s">
        <v>73</v>
      </c>
      <c r="C169" s="252" t="s">
        <v>233</v>
      </c>
      <c r="D169" s="252" t="s">
        <v>196</v>
      </c>
      <c r="E169" s="251" t="s">
        <v>429</v>
      </c>
      <c r="F169" s="252"/>
      <c r="G169" s="256"/>
      <c r="H169" s="256"/>
      <c r="I169" s="257">
        <f>I170+I171+I172+I173+I174+I175+I176</f>
        <v>-5377.74</v>
      </c>
      <c r="J169" s="257">
        <f>J170+J171+J172+J173+J174+J175+J176</f>
        <v>-5377.74</v>
      </c>
      <c r="K169" s="257">
        <f>K170+K171+K172+K173+K174+K175+K176</f>
        <v>-5377.74</v>
      </c>
      <c r="L169" s="257">
        <f>L170+L171+L172+L173+L174+L175+L176</f>
        <v>-5377.74</v>
      </c>
      <c r="M169" s="257">
        <f t="shared" ref="M169:N169" si="114">M170+M171+M172+M173+M174+M175+M176</f>
        <v>-10755.48</v>
      </c>
      <c r="N169" s="257">
        <f t="shared" si="114"/>
        <v>-10755.48</v>
      </c>
    </row>
    <row r="170" spans="1:14" s="242" customFormat="1" ht="18.75" hidden="1" customHeight="1" x14ac:dyDescent="0.2">
      <c r="A170" s="259" t="s">
        <v>93</v>
      </c>
      <c r="B170" s="252" t="s">
        <v>73</v>
      </c>
      <c r="C170" s="252" t="s">
        <v>233</v>
      </c>
      <c r="D170" s="252" t="s">
        <v>196</v>
      </c>
      <c r="E170" s="251" t="s">
        <v>429</v>
      </c>
      <c r="F170" s="252" t="s">
        <v>94</v>
      </c>
      <c r="G170" s="256"/>
      <c r="H170" s="256"/>
      <c r="I170" s="257">
        <v>-1595</v>
      </c>
      <c r="J170" s="257">
        <f t="shared" ref="J170:J176" si="115">G170+I170</f>
        <v>-1595</v>
      </c>
      <c r="K170" s="257">
        <v>-1595</v>
      </c>
      <c r="L170" s="257">
        <f t="shared" ref="L170:L176" si="116">H170+J170</f>
        <v>-1595</v>
      </c>
      <c r="M170" s="257">
        <f t="shared" ref="M170:M176" si="117">I170+K170</f>
        <v>-3190</v>
      </c>
      <c r="N170" s="257">
        <f t="shared" ref="N170:N176" si="118">J170+L170</f>
        <v>-3190</v>
      </c>
    </row>
    <row r="171" spans="1:14" s="242" customFormat="1" ht="18" hidden="1" customHeight="1" x14ac:dyDescent="0.2">
      <c r="A171" s="259" t="s">
        <v>95</v>
      </c>
      <c r="B171" s="252" t="s">
        <v>73</v>
      </c>
      <c r="C171" s="252" t="s">
        <v>233</v>
      </c>
      <c r="D171" s="252" t="s">
        <v>196</v>
      </c>
      <c r="E171" s="358" t="s">
        <v>430</v>
      </c>
      <c r="F171" s="252" t="s">
        <v>96</v>
      </c>
      <c r="G171" s="256"/>
      <c r="H171" s="256"/>
      <c r="I171" s="257">
        <v>-3191.37</v>
      </c>
      <c r="J171" s="257">
        <f t="shared" si="115"/>
        <v>-3191.37</v>
      </c>
      <c r="K171" s="257">
        <v>-3191.37</v>
      </c>
      <c r="L171" s="257">
        <f t="shared" si="116"/>
        <v>-3191.37</v>
      </c>
      <c r="M171" s="257">
        <f t="shared" si="117"/>
        <v>-6382.74</v>
      </c>
      <c r="N171" s="257">
        <f t="shared" si="118"/>
        <v>-6382.74</v>
      </c>
    </row>
    <row r="172" spans="1:14" s="242" customFormat="1" ht="18.75" hidden="1" customHeight="1" x14ac:dyDescent="0.2">
      <c r="A172" s="259" t="s">
        <v>97</v>
      </c>
      <c r="B172" s="252" t="s">
        <v>73</v>
      </c>
      <c r="C172" s="252" t="s">
        <v>233</v>
      </c>
      <c r="D172" s="252" t="s">
        <v>196</v>
      </c>
      <c r="E172" s="251" t="s">
        <v>430</v>
      </c>
      <c r="F172" s="252" t="s">
        <v>98</v>
      </c>
      <c r="G172" s="256"/>
      <c r="H172" s="256"/>
      <c r="I172" s="257">
        <v>-110</v>
      </c>
      <c r="J172" s="257">
        <f t="shared" si="115"/>
        <v>-110</v>
      </c>
      <c r="K172" s="257">
        <v>-110</v>
      </c>
      <c r="L172" s="257">
        <f t="shared" si="116"/>
        <v>-110</v>
      </c>
      <c r="M172" s="257">
        <f t="shared" si="117"/>
        <v>-220</v>
      </c>
      <c r="N172" s="257">
        <f t="shared" si="118"/>
        <v>-220</v>
      </c>
    </row>
    <row r="173" spans="1:14" s="242" customFormat="1" ht="15.75" hidden="1" customHeight="1" x14ac:dyDescent="0.25">
      <c r="A173" s="357" t="s">
        <v>99</v>
      </c>
      <c r="B173" s="252" t="s">
        <v>73</v>
      </c>
      <c r="C173" s="252" t="s">
        <v>233</v>
      </c>
      <c r="D173" s="252" t="s">
        <v>196</v>
      </c>
      <c r="E173" s="358" t="s">
        <v>430</v>
      </c>
      <c r="F173" s="252" t="s">
        <v>100</v>
      </c>
      <c r="G173" s="256"/>
      <c r="H173" s="256"/>
      <c r="I173" s="257">
        <v>-80</v>
      </c>
      <c r="J173" s="257">
        <f t="shared" si="115"/>
        <v>-80</v>
      </c>
      <c r="K173" s="257">
        <v>-80</v>
      </c>
      <c r="L173" s="257">
        <f t="shared" si="116"/>
        <v>-80</v>
      </c>
      <c r="M173" s="257">
        <f t="shared" si="117"/>
        <v>-160</v>
      </c>
      <c r="N173" s="257">
        <f t="shared" si="118"/>
        <v>-160</v>
      </c>
    </row>
    <row r="174" spans="1:14" s="242" customFormat="1" ht="18.75" hidden="1" customHeight="1" x14ac:dyDescent="0.2">
      <c r="A174" s="259" t="s">
        <v>93</v>
      </c>
      <c r="B174" s="252" t="s">
        <v>73</v>
      </c>
      <c r="C174" s="252" t="s">
        <v>233</v>
      </c>
      <c r="D174" s="252" t="s">
        <v>196</v>
      </c>
      <c r="E174" s="251" t="s">
        <v>430</v>
      </c>
      <c r="F174" s="252" t="s">
        <v>94</v>
      </c>
      <c r="G174" s="256"/>
      <c r="H174" s="256"/>
      <c r="I174" s="257">
        <v>-350</v>
      </c>
      <c r="J174" s="257">
        <f t="shared" si="115"/>
        <v>-350</v>
      </c>
      <c r="K174" s="257">
        <v>-350</v>
      </c>
      <c r="L174" s="257">
        <f t="shared" si="116"/>
        <v>-350</v>
      </c>
      <c r="M174" s="257">
        <f t="shared" si="117"/>
        <v>-700</v>
      </c>
      <c r="N174" s="257">
        <f t="shared" si="118"/>
        <v>-700</v>
      </c>
    </row>
    <row r="175" spans="1:14" s="242" customFormat="1" ht="15" hidden="1" customHeight="1" x14ac:dyDescent="0.2">
      <c r="A175" s="259" t="s">
        <v>103</v>
      </c>
      <c r="B175" s="252" t="s">
        <v>73</v>
      </c>
      <c r="C175" s="252" t="s">
        <v>233</v>
      </c>
      <c r="D175" s="252" t="s">
        <v>196</v>
      </c>
      <c r="E175" s="358" t="s">
        <v>430</v>
      </c>
      <c r="F175" s="252" t="s">
        <v>104</v>
      </c>
      <c r="G175" s="256"/>
      <c r="H175" s="256"/>
      <c r="I175" s="257">
        <v>-24.49</v>
      </c>
      <c r="J175" s="257">
        <f t="shared" si="115"/>
        <v>-24.49</v>
      </c>
      <c r="K175" s="257">
        <v>-24.49</v>
      </c>
      <c r="L175" s="257">
        <f t="shared" si="116"/>
        <v>-24.49</v>
      </c>
      <c r="M175" s="257">
        <f t="shared" si="117"/>
        <v>-48.98</v>
      </c>
      <c r="N175" s="257">
        <f t="shared" si="118"/>
        <v>-48.98</v>
      </c>
    </row>
    <row r="176" spans="1:14" s="242" customFormat="1" ht="15" hidden="1" customHeight="1" x14ac:dyDescent="0.2">
      <c r="A176" s="259" t="s">
        <v>105</v>
      </c>
      <c r="B176" s="252" t="s">
        <v>73</v>
      </c>
      <c r="C176" s="252" t="s">
        <v>233</v>
      </c>
      <c r="D176" s="252" t="s">
        <v>196</v>
      </c>
      <c r="E176" s="251" t="s">
        <v>430</v>
      </c>
      <c r="F176" s="252" t="s">
        <v>106</v>
      </c>
      <c r="G176" s="256"/>
      <c r="H176" s="256"/>
      <c r="I176" s="257">
        <v>-26.88</v>
      </c>
      <c r="J176" s="257">
        <f t="shared" si="115"/>
        <v>-26.88</v>
      </c>
      <c r="K176" s="257">
        <v>-26.88</v>
      </c>
      <c r="L176" s="257">
        <f t="shared" si="116"/>
        <v>-26.88</v>
      </c>
      <c r="M176" s="257">
        <f t="shared" si="117"/>
        <v>-53.76</v>
      </c>
      <c r="N176" s="257">
        <f t="shared" si="118"/>
        <v>-53.76</v>
      </c>
    </row>
    <row r="177" spans="1:14" s="242" customFormat="1" ht="22.5" hidden="1" customHeight="1" x14ac:dyDescent="0.2">
      <c r="A177" s="259" t="s">
        <v>281</v>
      </c>
      <c r="B177" s="252" t="s">
        <v>73</v>
      </c>
      <c r="C177" s="252" t="s">
        <v>204</v>
      </c>
      <c r="D177" s="252" t="s">
        <v>198</v>
      </c>
      <c r="E177" s="251"/>
      <c r="F177" s="252"/>
      <c r="G177" s="256"/>
      <c r="H177" s="256"/>
      <c r="I177" s="257">
        <f>I178+I179+I180</f>
        <v>0</v>
      </c>
      <c r="J177" s="257">
        <f>J178+J179+J180</f>
        <v>0</v>
      </c>
      <c r="K177" s="257">
        <f>K178+K179+K180</f>
        <v>0</v>
      </c>
      <c r="L177" s="257">
        <f>L178+L179+L180</f>
        <v>0</v>
      </c>
      <c r="M177" s="257">
        <f t="shared" ref="M177:N177" si="119">M178+M179+M180</f>
        <v>0</v>
      </c>
      <c r="N177" s="257">
        <f t="shared" si="119"/>
        <v>0</v>
      </c>
    </row>
    <row r="178" spans="1:14" s="242" customFormat="1" ht="21.75" hidden="1" customHeight="1" x14ac:dyDescent="0.2">
      <c r="A178" s="259" t="s">
        <v>95</v>
      </c>
      <c r="B178" s="252" t="s">
        <v>73</v>
      </c>
      <c r="C178" s="252" t="s">
        <v>204</v>
      </c>
      <c r="D178" s="252" t="s">
        <v>198</v>
      </c>
      <c r="E178" s="251" t="s">
        <v>487</v>
      </c>
      <c r="F178" s="252" t="s">
        <v>96</v>
      </c>
      <c r="G178" s="256"/>
      <c r="H178" s="256"/>
      <c r="I178" s="257">
        <v>0</v>
      </c>
      <c r="J178" s="257">
        <v>0</v>
      </c>
      <c r="K178" s="257">
        <v>0</v>
      </c>
      <c r="L178" s="257">
        <v>0</v>
      </c>
      <c r="M178" s="257">
        <v>0</v>
      </c>
      <c r="N178" s="257">
        <v>0</v>
      </c>
    </row>
    <row r="179" spans="1:14" s="242" customFormat="1" ht="44.25" hidden="1" customHeight="1" x14ac:dyDescent="0.2">
      <c r="A179" s="259" t="s">
        <v>76</v>
      </c>
      <c r="B179" s="252" t="s">
        <v>73</v>
      </c>
      <c r="C179" s="252" t="s">
        <v>204</v>
      </c>
      <c r="D179" s="252" t="s">
        <v>198</v>
      </c>
      <c r="E179" s="251" t="s">
        <v>482</v>
      </c>
      <c r="F179" s="252" t="s">
        <v>77</v>
      </c>
      <c r="G179" s="256"/>
      <c r="H179" s="256"/>
      <c r="I179" s="257">
        <v>0</v>
      </c>
      <c r="J179" s="257">
        <v>0</v>
      </c>
      <c r="K179" s="257">
        <v>0</v>
      </c>
      <c r="L179" s="257">
        <v>0</v>
      </c>
      <c r="M179" s="257">
        <v>0</v>
      </c>
      <c r="N179" s="257">
        <v>0</v>
      </c>
    </row>
    <row r="180" spans="1:14" s="242" customFormat="1" ht="45" hidden="1" customHeight="1" x14ac:dyDescent="0.2">
      <c r="A180" s="259" t="s">
        <v>76</v>
      </c>
      <c r="B180" s="252" t="s">
        <v>73</v>
      </c>
      <c r="C180" s="252" t="s">
        <v>204</v>
      </c>
      <c r="D180" s="252" t="s">
        <v>198</v>
      </c>
      <c r="E180" s="251" t="s">
        <v>482</v>
      </c>
      <c r="F180" s="252" t="s">
        <v>77</v>
      </c>
      <c r="G180" s="256"/>
      <c r="H180" s="256"/>
      <c r="I180" s="257">
        <v>0</v>
      </c>
      <c r="J180" s="257">
        <v>0</v>
      </c>
      <c r="K180" s="257">
        <v>0</v>
      </c>
      <c r="L180" s="257">
        <v>0</v>
      </c>
      <c r="M180" s="257">
        <v>0</v>
      </c>
      <c r="N180" s="257">
        <v>0</v>
      </c>
    </row>
    <row r="181" spans="1:14" s="242" customFormat="1" ht="36" customHeight="1" x14ac:dyDescent="0.2">
      <c r="A181" s="263" t="s">
        <v>975</v>
      </c>
      <c r="B181" s="252" t="s">
        <v>73</v>
      </c>
      <c r="C181" s="252" t="s">
        <v>233</v>
      </c>
      <c r="D181" s="252" t="s">
        <v>196</v>
      </c>
      <c r="E181" s="251" t="s">
        <v>845</v>
      </c>
      <c r="F181" s="252"/>
      <c r="G181" s="257">
        <f>G183+G186+G189+G190+G191+G192+G193</f>
        <v>0</v>
      </c>
      <c r="H181" s="257">
        <f t="shared" ref="H181:L181" si="120">H182+H185</f>
        <v>5841</v>
      </c>
      <c r="I181" s="257">
        <f t="shared" si="120"/>
        <v>0</v>
      </c>
      <c r="J181" s="257">
        <f t="shared" si="120"/>
        <v>5841</v>
      </c>
      <c r="K181" s="257">
        <f t="shared" si="120"/>
        <v>98.134</v>
      </c>
      <c r="L181" s="257">
        <f t="shared" si="120"/>
        <v>6629</v>
      </c>
      <c r="M181" s="257">
        <f t="shared" ref="M181:N181" si="121">M182+M185</f>
        <v>496</v>
      </c>
      <c r="N181" s="257">
        <f t="shared" si="121"/>
        <v>7125</v>
      </c>
    </row>
    <row r="182" spans="1:14" s="242" customFormat="1" ht="36" customHeight="1" x14ac:dyDescent="0.2">
      <c r="A182" s="263" t="s">
        <v>975</v>
      </c>
      <c r="B182" s="252" t="s">
        <v>73</v>
      </c>
      <c r="C182" s="252" t="s">
        <v>233</v>
      </c>
      <c r="D182" s="252" t="s">
        <v>196</v>
      </c>
      <c r="E182" s="251" t="s">
        <v>1019</v>
      </c>
      <c r="F182" s="252"/>
      <c r="G182" s="359"/>
      <c r="H182" s="257">
        <f t="shared" ref="H182:L182" si="122">H183+H184</f>
        <v>716</v>
      </c>
      <c r="I182" s="257">
        <f t="shared" si="122"/>
        <v>606.62</v>
      </c>
      <c r="J182" s="257">
        <f t="shared" si="122"/>
        <v>1322.6200000000001</v>
      </c>
      <c r="K182" s="257">
        <f t="shared" si="122"/>
        <v>0</v>
      </c>
      <c r="L182" s="257">
        <f t="shared" si="122"/>
        <v>1323</v>
      </c>
      <c r="M182" s="257">
        <f t="shared" ref="M182:N182" si="123">M183+M184</f>
        <v>8</v>
      </c>
      <c r="N182" s="257">
        <f t="shared" si="123"/>
        <v>1331</v>
      </c>
    </row>
    <row r="183" spans="1:14" s="242" customFormat="1" ht="19.5" customHeight="1" x14ac:dyDescent="0.2">
      <c r="A183" s="263" t="s">
        <v>95</v>
      </c>
      <c r="B183" s="252" t="s">
        <v>73</v>
      </c>
      <c r="C183" s="252" t="s">
        <v>233</v>
      </c>
      <c r="D183" s="252" t="s">
        <v>196</v>
      </c>
      <c r="E183" s="251" t="s">
        <v>1019</v>
      </c>
      <c r="F183" s="252" t="s">
        <v>96</v>
      </c>
      <c r="G183" s="256"/>
      <c r="H183" s="257">
        <v>716</v>
      </c>
      <c r="I183" s="257">
        <f>299.92</f>
        <v>299.92</v>
      </c>
      <c r="J183" s="257">
        <f>H183+I183</f>
        <v>1015.9200000000001</v>
      </c>
      <c r="K183" s="257">
        <v>0</v>
      </c>
      <c r="L183" s="257">
        <v>1016</v>
      </c>
      <c r="M183" s="257">
        <v>6</v>
      </c>
      <c r="N183" s="257">
        <f>L183+M183</f>
        <v>1022</v>
      </c>
    </row>
    <row r="184" spans="1:14" s="242" customFormat="1" ht="38.25" customHeight="1" x14ac:dyDescent="0.2">
      <c r="A184" s="273" t="s">
        <v>898</v>
      </c>
      <c r="B184" s="252" t="s">
        <v>73</v>
      </c>
      <c r="C184" s="252" t="s">
        <v>233</v>
      </c>
      <c r="D184" s="252" t="s">
        <v>196</v>
      </c>
      <c r="E184" s="251" t="s">
        <v>1019</v>
      </c>
      <c r="F184" s="252" t="s">
        <v>896</v>
      </c>
      <c r="G184" s="256"/>
      <c r="H184" s="257">
        <v>0</v>
      </c>
      <c r="I184" s="257">
        <f>166+140.7</f>
        <v>306.7</v>
      </c>
      <c r="J184" s="257">
        <f>H184+I184</f>
        <v>306.7</v>
      </c>
      <c r="K184" s="257">
        <v>0</v>
      </c>
      <c r="L184" s="257">
        <v>307</v>
      </c>
      <c r="M184" s="257">
        <v>2</v>
      </c>
      <c r="N184" s="257">
        <f>L184+M184</f>
        <v>309</v>
      </c>
    </row>
    <row r="185" spans="1:14" s="242" customFormat="1" ht="27.75" customHeight="1" x14ac:dyDescent="0.2">
      <c r="A185" s="263" t="s">
        <v>975</v>
      </c>
      <c r="B185" s="252" t="s">
        <v>73</v>
      </c>
      <c r="C185" s="252" t="s">
        <v>233</v>
      </c>
      <c r="D185" s="252" t="s">
        <v>196</v>
      </c>
      <c r="E185" s="251" t="s">
        <v>845</v>
      </c>
      <c r="F185" s="252"/>
      <c r="G185" s="256"/>
      <c r="H185" s="257">
        <f>H186+H187+H188+H189+H190+H191+H192+H193</f>
        <v>5125</v>
      </c>
      <c r="I185" s="257">
        <f>I186+I187+I188+I189+I190+I191+I192+I193</f>
        <v>-606.62000000000012</v>
      </c>
      <c r="J185" s="257">
        <f>J186+J187+J188+J189+J190+J191+J192+J193</f>
        <v>4518.38</v>
      </c>
      <c r="K185" s="257">
        <f>K186+K187+K188+K189+K190+K191+K192+K193+K195</f>
        <v>98.134</v>
      </c>
      <c r="L185" s="257">
        <f>L187+L188+L189+L190+L191+L192+L193</f>
        <v>5306</v>
      </c>
      <c r="M185" s="257">
        <f>M187+M188+M189+M190+M191+M192+M193+M194+M195</f>
        <v>488</v>
      </c>
      <c r="N185" s="257">
        <f>N187+N188+N189+N190+N191+N192+N193+N194+N195</f>
        <v>5794</v>
      </c>
    </row>
    <row r="186" spans="1:14" s="242" customFormat="1" ht="18.75" hidden="1" customHeight="1" x14ac:dyDescent="0.2">
      <c r="A186" s="263" t="s">
        <v>95</v>
      </c>
      <c r="B186" s="252" t="s">
        <v>73</v>
      </c>
      <c r="C186" s="252" t="s">
        <v>233</v>
      </c>
      <c r="D186" s="252" t="s">
        <v>196</v>
      </c>
      <c r="E186" s="251" t="s">
        <v>854</v>
      </c>
      <c r="F186" s="252" t="s">
        <v>96</v>
      </c>
      <c r="G186" s="256"/>
      <c r="H186" s="257">
        <v>4525</v>
      </c>
      <c r="I186" s="257">
        <v>-4525</v>
      </c>
      <c r="J186" s="257">
        <f t="shared" ref="J186:J193" si="124">H186+I186</f>
        <v>0</v>
      </c>
      <c r="K186" s="257">
        <v>0</v>
      </c>
      <c r="L186" s="257">
        <f>I186+J186</f>
        <v>-4525</v>
      </c>
      <c r="M186" s="257"/>
      <c r="N186" s="257">
        <f>J186+K186</f>
        <v>0</v>
      </c>
    </row>
    <row r="187" spans="1:14" s="242" customFormat="1" ht="18.75" customHeight="1" x14ac:dyDescent="0.2">
      <c r="A187" s="263" t="s">
        <v>897</v>
      </c>
      <c r="B187" s="252" t="s">
        <v>73</v>
      </c>
      <c r="C187" s="252" t="s">
        <v>233</v>
      </c>
      <c r="D187" s="252" t="s">
        <v>196</v>
      </c>
      <c r="E187" s="251" t="s">
        <v>845</v>
      </c>
      <c r="F187" s="252" t="s">
        <v>832</v>
      </c>
      <c r="G187" s="256"/>
      <c r="H187" s="257">
        <v>0</v>
      </c>
      <c r="I187" s="257">
        <f>3475.42-465.92</f>
        <v>3009.5</v>
      </c>
      <c r="J187" s="257">
        <f>H187+I187</f>
        <v>3009.5</v>
      </c>
      <c r="K187" s="257">
        <v>75.38</v>
      </c>
      <c r="L187" s="257">
        <v>3606</v>
      </c>
      <c r="M187" s="257">
        <f>271+377</f>
        <v>648</v>
      </c>
      <c r="N187" s="257">
        <f>L187+M187</f>
        <v>4254</v>
      </c>
    </row>
    <row r="188" spans="1:14" s="242" customFormat="1" ht="37.5" customHeight="1" x14ac:dyDescent="0.2">
      <c r="A188" s="273" t="s">
        <v>900</v>
      </c>
      <c r="B188" s="252" t="s">
        <v>73</v>
      </c>
      <c r="C188" s="252" t="s">
        <v>233</v>
      </c>
      <c r="D188" s="252" t="s">
        <v>196</v>
      </c>
      <c r="E188" s="251" t="s">
        <v>845</v>
      </c>
      <c r="F188" s="252" t="s">
        <v>899</v>
      </c>
      <c r="G188" s="256"/>
      <c r="H188" s="257">
        <v>0</v>
      </c>
      <c r="I188" s="257">
        <f>1049.58-140.7</f>
        <v>908.87999999999988</v>
      </c>
      <c r="J188" s="257">
        <f>H188+I188</f>
        <v>908.87999999999988</v>
      </c>
      <c r="K188" s="257">
        <v>22.754000000000001</v>
      </c>
      <c r="L188" s="257">
        <v>1090</v>
      </c>
      <c r="M188" s="257">
        <f>81+114</f>
        <v>195</v>
      </c>
      <c r="N188" s="257">
        <f t="shared" ref="N188:N193" si="125">L188+M188</f>
        <v>1285</v>
      </c>
    </row>
    <row r="189" spans="1:14" s="242" customFormat="1" ht="15.75" customHeight="1" x14ac:dyDescent="0.2">
      <c r="A189" s="263" t="s">
        <v>952</v>
      </c>
      <c r="B189" s="252" t="s">
        <v>73</v>
      </c>
      <c r="C189" s="252" t="s">
        <v>233</v>
      </c>
      <c r="D189" s="252" t="s">
        <v>196</v>
      </c>
      <c r="E189" s="251" t="s">
        <v>845</v>
      </c>
      <c r="F189" s="252" t="s">
        <v>919</v>
      </c>
      <c r="G189" s="256"/>
      <c r="H189" s="257">
        <v>115</v>
      </c>
      <c r="I189" s="257">
        <v>-65</v>
      </c>
      <c r="J189" s="257">
        <f t="shared" si="124"/>
        <v>50</v>
      </c>
      <c r="K189" s="257">
        <v>-44.4</v>
      </c>
      <c r="L189" s="257">
        <v>50</v>
      </c>
      <c r="M189" s="257">
        <v>-50</v>
      </c>
      <c r="N189" s="257">
        <f t="shared" si="125"/>
        <v>0</v>
      </c>
    </row>
    <row r="190" spans="1:14" s="242" customFormat="1" ht="21" customHeight="1" x14ac:dyDescent="0.2">
      <c r="A190" s="263" t="s">
        <v>99</v>
      </c>
      <c r="B190" s="252" t="s">
        <v>73</v>
      </c>
      <c r="C190" s="252" t="s">
        <v>233</v>
      </c>
      <c r="D190" s="252" t="s">
        <v>196</v>
      </c>
      <c r="E190" s="251" t="s">
        <v>845</v>
      </c>
      <c r="F190" s="252" t="s">
        <v>100</v>
      </c>
      <c r="G190" s="256"/>
      <c r="H190" s="257">
        <v>80</v>
      </c>
      <c r="I190" s="257">
        <v>-30</v>
      </c>
      <c r="J190" s="257">
        <f t="shared" si="124"/>
        <v>50</v>
      </c>
      <c r="K190" s="257">
        <v>0</v>
      </c>
      <c r="L190" s="257">
        <v>105</v>
      </c>
      <c r="M190" s="257">
        <v>-50</v>
      </c>
      <c r="N190" s="257">
        <f t="shared" si="125"/>
        <v>55</v>
      </c>
    </row>
    <row r="191" spans="1:14" s="242" customFormat="1" ht="23.25" customHeight="1" x14ac:dyDescent="0.2">
      <c r="A191" s="263" t="s">
        <v>93</v>
      </c>
      <c r="B191" s="252" t="s">
        <v>73</v>
      </c>
      <c r="C191" s="252" t="s">
        <v>233</v>
      </c>
      <c r="D191" s="252" t="s">
        <v>196</v>
      </c>
      <c r="E191" s="251" t="s">
        <v>845</v>
      </c>
      <c r="F191" s="252" t="s">
        <v>94</v>
      </c>
      <c r="G191" s="256"/>
      <c r="H191" s="257">
        <v>350</v>
      </c>
      <c r="I191" s="257">
        <v>95</v>
      </c>
      <c r="J191" s="257">
        <f t="shared" si="124"/>
        <v>445</v>
      </c>
      <c r="K191" s="257">
        <v>44.4</v>
      </c>
      <c r="L191" s="257">
        <v>400</v>
      </c>
      <c r="M191" s="257">
        <v>-200</v>
      </c>
      <c r="N191" s="257">
        <f>L191+M191</f>
        <v>200</v>
      </c>
    </row>
    <row r="192" spans="1:14" s="242" customFormat="1" ht="15.75" customHeight="1" x14ac:dyDescent="0.2">
      <c r="A192" s="263" t="s">
        <v>103</v>
      </c>
      <c r="B192" s="252" t="s">
        <v>73</v>
      </c>
      <c r="C192" s="252" t="s">
        <v>233</v>
      </c>
      <c r="D192" s="252" t="s">
        <v>196</v>
      </c>
      <c r="E192" s="251" t="s">
        <v>845</v>
      </c>
      <c r="F192" s="252" t="s">
        <v>104</v>
      </c>
      <c r="G192" s="256"/>
      <c r="H192" s="257">
        <v>34</v>
      </c>
      <c r="I192" s="257">
        <v>0</v>
      </c>
      <c r="J192" s="257">
        <f t="shared" si="124"/>
        <v>34</v>
      </c>
      <c r="K192" s="257">
        <v>0</v>
      </c>
      <c r="L192" s="257">
        <f>I192+J192</f>
        <v>34</v>
      </c>
      <c r="M192" s="257">
        <v>-34</v>
      </c>
      <c r="N192" s="257">
        <f t="shared" si="125"/>
        <v>0</v>
      </c>
    </row>
    <row r="193" spans="1:14" s="242" customFormat="1" ht="15.75" customHeight="1" x14ac:dyDescent="0.2">
      <c r="A193" s="263" t="s">
        <v>105</v>
      </c>
      <c r="B193" s="252" t="s">
        <v>73</v>
      </c>
      <c r="C193" s="252" t="s">
        <v>233</v>
      </c>
      <c r="D193" s="252" t="s">
        <v>196</v>
      </c>
      <c r="E193" s="251" t="s">
        <v>845</v>
      </c>
      <c r="F193" s="252" t="s">
        <v>106</v>
      </c>
      <c r="G193" s="256"/>
      <c r="H193" s="257">
        <v>21</v>
      </c>
      <c r="I193" s="257">
        <v>0</v>
      </c>
      <c r="J193" s="257">
        <f t="shared" si="124"/>
        <v>21</v>
      </c>
      <c r="K193" s="257">
        <v>-3</v>
      </c>
      <c r="L193" s="257">
        <v>21</v>
      </c>
      <c r="M193" s="257">
        <v>-21</v>
      </c>
      <c r="N193" s="257">
        <f t="shared" si="125"/>
        <v>0</v>
      </c>
    </row>
    <row r="194" spans="1:14" s="242" customFormat="1" ht="15.75" hidden="1" customHeight="1" x14ac:dyDescent="0.2">
      <c r="A194" s="263" t="s">
        <v>897</v>
      </c>
      <c r="B194" s="252" t="s">
        <v>73</v>
      </c>
      <c r="C194" s="252" t="s">
        <v>233</v>
      </c>
      <c r="D194" s="252" t="s">
        <v>196</v>
      </c>
      <c r="E194" s="251" t="s">
        <v>1036</v>
      </c>
      <c r="F194" s="252" t="s">
        <v>832</v>
      </c>
      <c r="G194" s="256"/>
      <c r="H194" s="257"/>
      <c r="I194" s="257"/>
      <c r="J194" s="257"/>
      <c r="K194" s="257"/>
      <c r="L194" s="257">
        <v>0</v>
      </c>
      <c r="M194" s="257">
        <v>0</v>
      </c>
      <c r="N194" s="257">
        <f>L194+M194</f>
        <v>0</v>
      </c>
    </row>
    <row r="195" spans="1:14" s="242" customFormat="1" ht="34.5" hidden="1" customHeight="1" x14ac:dyDescent="0.2">
      <c r="A195" s="273" t="s">
        <v>900</v>
      </c>
      <c r="B195" s="252" t="s">
        <v>73</v>
      </c>
      <c r="C195" s="252" t="s">
        <v>233</v>
      </c>
      <c r="D195" s="252" t="s">
        <v>196</v>
      </c>
      <c r="E195" s="251" t="s">
        <v>1036</v>
      </c>
      <c r="F195" s="252" t="s">
        <v>899</v>
      </c>
      <c r="G195" s="256"/>
      <c r="H195" s="257"/>
      <c r="I195" s="257"/>
      <c r="J195" s="257"/>
      <c r="K195" s="257">
        <v>3</v>
      </c>
      <c r="L195" s="257">
        <v>0</v>
      </c>
      <c r="M195" s="257">
        <v>0</v>
      </c>
      <c r="N195" s="257">
        <f>L195+M195</f>
        <v>0</v>
      </c>
    </row>
    <row r="196" spans="1:14" s="242" customFormat="1" ht="33" customHeight="1" x14ac:dyDescent="0.2">
      <c r="A196" s="263" t="s">
        <v>997</v>
      </c>
      <c r="B196" s="252" t="s">
        <v>73</v>
      </c>
      <c r="C196" s="252" t="s">
        <v>233</v>
      </c>
      <c r="D196" s="252" t="s">
        <v>196</v>
      </c>
      <c r="E196" s="251" t="s">
        <v>747</v>
      </c>
      <c r="F196" s="252"/>
      <c r="G196" s="256"/>
      <c r="H196" s="257">
        <f>H197</f>
        <v>1000</v>
      </c>
      <c r="I196" s="257">
        <f>I197</f>
        <v>0</v>
      </c>
      <c r="J196" s="257">
        <f t="shared" ref="J196:J206" si="126">H196+I196</f>
        <v>1000</v>
      </c>
      <c r="K196" s="257">
        <f>K197</f>
        <v>0</v>
      </c>
      <c r="L196" s="257">
        <f>L197</f>
        <v>500</v>
      </c>
      <c r="M196" s="257">
        <f t="shared" ref="M196:N196" si="127">M197</f>
        <v>-500</v>
      </c>
      <c r="N196" s="257">
        <f t="shared" si="127"/>
        <v>0</v>
      </c>
    </row>
    <row r="197" spans="1:14" s="242" customFormat="1" ht="20.25" customHeight="1" x14ac:dyDescent="0.2">
      <c r="A197" s="263" t="s">
        <v>93</v>
      </c>
      <c r="B197" s="252" t="s">
        <v>73</v>
      </c>
      <c r="C197" s="252" t="s">
        <v>233</v>
      </c>
      <c r="D197" s="252" t="s">
        <v>196</v>
      </c>
      <c r="E197" s="251" t="s">
        <v>747</v>
      </c>
      <c r="F197" s="252" t="s">
        <v>94</v>
      </c>
      <c r="G197" s="256"/>
      <c r="H197" s="257">
        <v>1000</v>
      </c>
      <c r="I197" s="257">
        <v>0</v>
      </c>
      <c r="J197" s="257">
        <f t="shared" si="126"/>
        <v>1000</v>
      </c>
      <c r="K197" s="257">
        <v>0</v>
      </c>
      <c r="L197" s="257">
        <v>500</v>
      </c>
      <c r="M197" s="257">
        <v>-500</v>
      </c>
      <c r="N197" s="257">
        <f>L197+M197</f>
        <v>0</v>
      </c>
    </row>
    <row r="198" spans="1:14" s="19" customFormat="1" ht="20.25" customHeight="1" x14ac:dyDescent="0.2">
      <c r="A198" s="398" t="s">
        <v>65</v>
      </c>
      <c r="B198" s="250" t="s">
        <v>73</v>
      </c>
      <c r="C198" s="250">
        <v>10</v>
      </c>
      <c r="D198" s="250"/>
      <c r="E198" s="253"/>
      <c r="F198" s="250"/>
      <c r="G198" s="275">
        <f t="shared" ref="G198:K199" si="128">G199</f>
        <v>0</v>
      </c>
      <c r="H198" s="275">
        <f>H199</f>
        <v>485</v>
      </c>
      <c r="I198" s="275">
        <f t="shared" si="128"/>
        <v>0</v>
      </c>
      <c r="J198" s="275">
        <f t="shared" si="126"/>
        <v>485</v>
      </c>
      <c r="K198" s="275" t="e">
        <f t="shared" si="128"/>
        <v>#REF!</v>
      </c>
      <c r="L198" s="275">
        <f>L199</f>
        <v>760.2</v>
      </c>
      <c r="M198" s="275">
        <f t="shared" ref="M198:N199" si="129">M199</f>
        <v>-760.2</v>
      </c>
      <c r="N198" s="275">
        <f t="shared" si="129"/>
        <v>0</v>
      </c>
    </row>
    <row r="199" spans="1:14" s="242" customFormat="1" ht="20.25" customHeight="1" x14ac:dyDescent="0.2">
      <c r="A199" s="259" t="s">
        <v>277</v>
      </c>
      <c r="B199" s="252" t="s">
        <v>73</v>
      </c>
      <c r="C199" s="252">
        <v>10</v>
      </c>
      <c r="D199" s="252" t="s">
        <v>194</v>
      </c>
      <c r="E199" s="251"/>
      <c r="F199" s="252"/>
      <c r="G199" s="257">
        <f t="shared" si="128"/>
        <v>0</v>
      </c>
      <c r="H199" s="257">
        <f>H200</f>
        <v>485</v>
      </c>
      <c r="I199" s="257">
        <f t="shared" si="128"/>
        <v>0</v>
      </c>
      <c r="J199" s="257">
        <f t="shared" si="126"/>
        <v>485</v>
      </c>
      <c r="K199" s="257" t="e">
        <f t="shared" si="128"/>
        <v>#REF!</v>
      </c>
      <c r="L199" s="257">
        <f>L200</f>
        <v>760.2</v>
      </c>
      <c r="M199" s="257">
        <f t="shared" si="129"/>
        <v>-760.2</v>
      </c>
      <c r="N199" s="257">
        <f t="shared" si="129"/>
        <v>0</v>
      </c>
    </row>
    <row r="200" spans="1:14" s="242" customFormat="1" ht="20.25" customHeight="1" x14ac:dyDescent="0.2">
      <c r="A200" s="259" t="s">
        <v>501</v>
      </c>
      <c r="B200" s="252" t="s">
        <v>73</v>
      </c>
      <c r="C200" s="252">
        <v>10</v>
      </c>
      <c r="D200" s="252" t="s">
        <v>194</v>
      </c>
      <c r="E200" s="251" t="s">
        <v>755</v>
      </c>
      <c r="F200" s="252"/>
      <c r="G200" s="256">
        <v>0</v>
      </c>
      <c r="H200" s="257">
        <f>H201</f>
        <v>485</v>
      </c>
      <c r="I200" s="257">
        <f>I201</f>
        <v>0</v>
      </c>
      <c r="J200" s="257">
        <f t="shared" si="126"/>
        <v>485</v>
      </c>
      <c r="K200" s="257" t="e">
        <f>K201+#REF!+K202</f>
        <v>#REF!</v>
      </c>
      <c r="L200" s="257">
        <f>L201+L202</f>
        <v>760.2</v>
      </c>
      <c r="M200" s="257">
        <f t="shared" ref="M200:N200" si="130">M201+M202</f>
        <v>-760.2</v>
      </c>
      <c r="N200" s="257">
        <f t="shared" si="130"/>
        <v>0</v>
      </c>
    </row>
    <row r="201" spans="1:14" s="242" customFormat="1" ht="20.25" customHeight="1" x14ac:dyDescent="0.2">
      <c r="A201" s="259" t="s">
        <v>304</v>
      </c>
      <c r="B201" s="252" t="s">
        <v>73</v>
      </c>
      <c r="C201" s="252">
        <v>10</v>
      </c>
      <c r="D201" s="252" t="s">
        <v>194</v>
      </c>
      <c r="E201" s="251" t="s">
        <v>1020</v>
      </c>
      <c r="F201" s="252" t="s">
        <v>305</v>
      </c>
      <c r="G201" s="256"/>
      <c r="H201" s="257">
        <v>485</v>
      </c>
      <c r="I201" s="257">
        <v>0</v>
      </c>
      <c r="J201" s="257">
        <f t="shared" si="126"/>
        <v>485</v>
      </c>
      <c r="K201" s="257">
        <v>0</v>
      </c>
      <c r="L201" s="257">
        <v>388</v>
      </c>
      <c r="M201" s="257">
        <v>-388</v>
      </c>
      <c r="N201" s="257">
        <f>L201+M201</f>
        <v>0</v>
      </c>
    </row>
    <row r="202" spans="1:14" s="242" customFormat="1" ht="20.25" customHeight="1" x14ac:dyDescent="0.2">
      <c r="A202" s="259" t="s">
        <v>304</v>
      </c>
      <c r="B202" s="252" t="s">
        <v>73</v>
      </c>
      <c r="C202" s="252">
        <v>10</v>
      </c>
      <c r="D202" s="252" t="s">
        <v>194</v>
      </c>
      <c r="E202" s="251" t="s">
        <v>915</v>
      </c>
      <c r="F202" s="252" t="s">
        <v>305</v>
      </c>
      <c r="G202" s="256"/>
      <c r="H202" s="257"/>
      <c r="I202" s="257"/>
      <c r="J202" s="257"/>
      <c r="K202" s="257">
        <v>172.9</v>
      </c>
      <c r="L202" s="257">
        <v>372.2</v>
      </c>
      <c r="M202" s="257">
        <v>-372.2</v>
      </c>
      <c r="N202" s="257">
        <f>L202+M202</f>
        <v>0</v>
      </c>
    </row>
    <row r="203" spans="1:14" s="19" customFormat="1" ht="20.25" customHeight="1" x14ac:dyDescent="0.2">
      <c r="A203" s="398" t="s">
        <v>271</v>
      </c>
      <c r="B203" s="250" t="s">
        <v>73</v>
      </c>
      <c r="C203" s="250" t="s">
        <v>204</v>
      </c>
      <c r="D203" s="250"/>
      <c r="E203" s="253"/>
      <c r="F203" s="250"/>
      <c r="G203" s="275">
        <f t="shared" ref="G203:N205" si="131">G204</f>
        <v>0</v>
      </c>
      <c r="H203" s="275">
        <f>H204</f>
        <v>700</v>
      </c>
      <c r="I203" s="275">
        <f t="shared" si="131"/>
        <v>0</v>
      </c>
      <c r="J203" s="275">
        <f t="shared" si="126"/>
        <v>700</v>
      </c>
      <c r="K203" s="275">
        <f t="shared" si="131"/>
        <v>50</v>
      </c>
      <c r="L203" s="275">
        <f t="shared" si="131"/>
        <v>500</v>
      </c>
      <c r="M203" s="275">
        <f t="shared" si="131"/>
        <v>-250</v>
      </c>
      <c r="N203" s="275">
        <f t="shared" si="131"/>
        <v>250</v>
      </c>
    </row>
    <row r="204" spans="1:14" s="242" customFormat="1" ht="20.25" customHeight="1" x14ac:dyDescent="0.2">
      <c r="A204" s="259" t="s">
        <v>280</v>
      </c>
      <c r="B204" s="252" t="s">
        <v>73</v>
      </c>
      <c r="C204" s="252" t="s">
        <v>204</v>
      </c>
      <c r="D204" s="252" t="s">
        <v>190</v>
      </c>
      <c r="E204" s="251"/>
      <c r="F204" s="252"/>
      <c r="G204" s="257">
        <f t="shared" si="131"/>
        <v>0</v>
      </c>
      <c r="H204" s="257">
        <f>H205</f>
        <v>700</v>
      </c>
      <c r="I204" s="257">
        <f t="shared" si="131"/>
        <v>0</v>
      </c>
      <c r="J204" s="257">
        <f t="shared" si="126"/>
        <v>700</v>
      </c>
      <c r="K204" s="257">
        <f t="shared" si="131"/>
        <v>50</v>
      </c>
      <c r="L204" s="257">
        <f t="shared" si="131"/>
        <v>500</v>
      </c>
      <c r="M204" s="257">
        <f t="shared" si="131"/>
        <v>-250</v>
      </c>
      <c r="N204" s="257">
        <f t="shared" si="131"/>
        <v>250</v>
      </c>
    </row>
    <row r="205" spans="1:14" s="242" customFormat="1" ht="20.25" customHeight="1" x14ac:dyDescent="0.2">
      <c r="A205" s="259" t="s">
        <v>502</v>
      </c>
      <c r="B205" s="252" t="s">
        <v>73</v>
      </c>
      <c r="C205" s="252" t="s">
        <v>204</v>
      </c>
      <c r="D205" s="252" t="s">
        <v>190</v>
      </c>
      <c r="E205" s="251" t="s">
        <v>756</v>
      </c>
      <c r="F205" s="252"/>
      <c r="G205" s="257">
        <f t="shared" si="131"/>
        <v>0</v>
      </c>
      <c r="H205" s="257">
        <f>H206</f>
        <v>700</v>
      </c>
      <c r="I205" s="257">
        <f t="shared" si="131"/>
        <v>0</v>
      </c>
      <c r="J205" s="257">
        <f t="shared" si="126"/>
        <v>700</v>
      </c>
      <c r="K205" s="257">
        <f t="shared" si="131"/>
        <v>50</v>
      </c>
      <c r="L205" s="257">
        <f t="shared" si="131"/>
        <v>500</v>
      </c>
      <c r="M205" s="257">
        <f t="shared" si="131"/>
        <v>-250</v>
      </c>
      <c r="N205" s="257">
        <f t="shared" si="131"/>
        <v>250</v>
      </c>
    </row>
    <row r="206" spans="1:14" s="242" customFormat="1" ht="20.25" customHeight="1" x14ac:dyDescent="0.2">
      <c r="A206" s="259" t="s">
        <v>93</v>
      </c>
      <c r="B206" s="252" t="s">
        <v>73</v>
      </c>
      <c r="C206" s="252" t="s">
        <v>204</v>
      </c>
      <c r="D206" s="252" t="s">
        <v>190</v>
      </c>
      <c r="E206" s="251" t="s">
        <v>756</v>
      </c>
      <c r="F206" s="252" t="s">
        <v>94</v>
      </c>
      <c r="G206" s="257"/>
      <c r="H206" s="257">
        <v>700</v>
      </c>
      <c r="I206" s="257">
        <v>0</v>
      </c>
      <c r="J206" s="257">
        <f t="shared" si="126"/>
        <v>700</v>
      </c>
      <c r="K206" s="257">
        <v>50</v>
      </c>
      <c r="L206" s="257">
        <v>500</v>
      </c>
      <c r="M206" s="257">
        <v>-250</v>
      </c>
      <c r="N206" s="257">
        <f>L206+M206</f>
        <v>250</v>
      </c>
    </row>
    <row r="207" spans="1:14" s="17" customFormat="1" ht="19.5" customHeight="1" x14ac:dyDescent="0.2">
      <c r="A207" s="534" t="s">
        <v>911</v>
      </c>
      <c r="B207" s="535"/>
      <c r="C207" s="535"/>
      <c r="D207" s="535"/>
      <c r="E207" s="535"/>
      <c r="F207" s="536"/>
      <c r="G207" s="246" t="e">
        <f>G224+G327+G331</f>
        <v>#REF!</v>
      </c>
      <c r="H207" s="246" t="e">
        <f t="shared" ref="H207:N207" si="132">H224+H327</f>
        <v>#REF!</v>
      </c>
      <c r="I207" s="246" t="e">
        <f t="shared" si="132"/>
        <v>#REF!</v>
      </c>
      <c r="J207" s="246" t="e">
        <f t="shared" si="132"/>
        <v>#REF!</v>
      </c>
      <c r="K207" s="246" t="e">
        <f t="shared" si="132"/>
        <v>#REF!</v>
      </c>
      <c r="L207" s="246">
        <f t="shared" si="132"/>
        <v>277351.78000000003</v>
      </c>
      <c r="M207" s="246">
        <f t="shared" si="132"/>
        <v>44277.220000000008</v>
      </c>
      <c r="N207" s="246">
        <f t="shared" si="132"/>
        <v>321629.00000000006</v>
      </c>
    </row>
    <row r="208" spans="1:14" s="19" customFormat="1" ht="12.75" hidden="1" customHeight="1" x14ac:dyDescent="0.2">
      <c r="A208" s="398" t="s">
        <v>72</v>
      </c>
      <c r="B208" s="250" t="s">
        <v>130</v>
      </c>
      <c r="C208" s="250" t="s">
        <v>190</v>
      </c>
      <c r="D208" s="250"/>
      <c r="E208" s="250"/>
      <c r="F208" s="250"/>
      <c r="G208" s="264"/>
      <c r="H208" s="264"/>
      <c r="I208" s="275"/>
      <c r="J208" s="275" t="e">
        <f>J209+J216</f>
        <v>#REF!</v>
      </c>
      <c r="K208" s="275"/>
      <c r="L208" s="275" t="e">
        <f>L209+L216</f>
        <v>#REF!</v>
      </c>
      <c r="M208" s="275">
        <f t="shared" ref="M208:N208" si="133">M209+M216</f>
        <v>0</v>
      </c>
      <c r="N208" s="275" t="e">
        <f t="shared" si="133"/>
        <v>#REF!</v>
      </c>
    </row>
    <row r="209" spans="1:14" ht="25.5" hidden="1" customHeight="1" x14ac:dyDescent="0.2">
      <c r="A209" s="398" t="s">
        <v>368</v>
      </c>
      <c r="B209" s="250" t="s">
        <v>130</v>
      </c>
      <c r="C209" s="250" t="s">
        <v>190</v>
      </c>
      <c r="D209" s="250" t="s">
        <v>205</v>
      </c>
      <c r="E209" s="250"/>
      <c r="F209" s="250"/>
      <c r="G209" s="256"/>
      <c r="H209" s="256"/>
      <c r="I209" s="257"/>
      <c r="J209" s="257" t="e">
        <f>J210</f>
        <v>#REF!</v>
      </c>
      <c r="K209" s="257"/>
      <c r="L209" s="257" t="e">
        <f>L210</f>
        <v>#REF!</v>
      </c>
      <c r="M209" s="257">
        <f t="shared" ref="M209:N210" si="134">M210</f>
        <v>0</v>
      </c>
      <c r="N209" s="257" t="e">
        <f t="shared" si="134"/>
        <v>#REF!</v>
      </c>
    </row>
    <row r="210" spans="1:14" ht="12.75" hidden="1" customHeight="1" x14ac:dyDescent="0.2">
      <c r="A210" s="259" t="s">
        <v>324</v>
      </c>
      <c r="B210" s="252" t="s">
        <v>130</v>
      </c>
      <c r="C210" s="252" t="s">
        <v>190</v>
      </c>
      <c r="D210" s="252" t="s">
        <v>205</v>
      </c>
      <c r="E210" s="252" t="s">
        <v>325</v>
      </c>
      <c r="F210" s="252"/>
      <c r="G210" s="256"/>
      <c r="H210" s="256"/>
      <c r="I210" s="257"/>
      <c r="J210" s="257" t="e">
        <f>J211</f>
        <v>#REF!</v>
      </c>
      <c r="K210" s="257"/>
      <c r="L210" s="257" t="e">
        <f>L211</f>
        <v>#REF!</v>
      </c>
      <c r="M210" s="257">
        <f t="shared" si="134"/>
        <v>0</v>
      </c>
      <c r="N210" s="257" t="e">
        <f t="shared" si="134"/>
        <v>#REF!</v>
      </c>
    </row>
    <row r="211" spans="1:14" ht="51" hidden="1" customHeight="1" x14ac:dyDescent="0.2">
      <c r="A211" s="259" t="s">
        <v>999</v>
      </c>
      <c r="B211" s="252" t="s">
        <v>130</v>
      </c>
      <c r="C211" s="252" t="s">
        <v>190</v>
      </c>
      <c r="D211" s="252" t="s">
        <v>205</v>
      </c>
      <c r="E211" s="252" t="s">
        <v>369</v>
      </c>
      <c r="F211" s="252"/>
      <c r="G211" s="256"/>
      <c r="H211" s="256"/>
      <c r="I211" s="257"/>
      <c r="J211" s="257" t="e">
        <f>J212+J214+J213</f>
        <v>#REF!</v>
      </c>
      <c r="K211" s="257"/>
      <c r="L211" s="257" t="e">
        <f>L212+L214+L213</f>
        <v>#REF!</v>
      </c>
      <c r="M211" s="257">
        <f t="shared" ref="M211:N211" si="135">M212+M214+M213</f>
        <v>0</v>
      </c>
      <c r="N211" s="257" t="e">
        <f t="shared" si="135"/>
        <v>#REF!</v>
      </c>
    </row>
    <row r="212" spans="1:14" ht="12.75" hidden="1" customHeight="1" x14ac:dyDescent="0.2">
      <c r="A212" s="259" t="s">
        <v>300</v>
      </c>
      <c r="B212" s="252" t="s">
        <v>130</v>
      </c>
      <c r="C212" s="252" t="s">
        <v>190</v>
      </c>
      <c r="D212" s="252" t="s">
        <v>205</v>
      </c>
      <c r="E212" s="252" t="s">
        <v>369</v>
      </c>
      <c r="F212" s="252" t="s">
        <v>301</v>
      </c>
      <c r="G212" s="256"/>
      <c r="H212" s="256"/>
      <c r="I212" s="257"/>
      <c r="J212" s="257" t="e">
        <f>#REF!+I212</f>
        <v>#REF!</v>
      </c>
      <c r="K212" s="257"/>
      <c r="L212" s="257" t="e">
        <f>F212+J212</f>
        <v>#REF!</v>
      </c>
      <c r="M212" s="257">
        <f t="shared" ref="M212:N213" si="136">G212+K212</f>
        <v>0</v>
      </c>
      <c r="N212" s="257" t="e">
        <f t="shared" si="136"/>
        <v>#REF!</v>
      </c>
    </row>
    <row r="213" spans="1:14" ht="12.75" hidden="1" customHeight="1" x14ac:dyDescent="0.2">
      <c r="A213" s="259" t="s">
        <v>302</v>
      </c>
      <c r="B213" s="252" t="s">
        <v>130</v>
      </c>
      <c r="C213" s="252" t="s">
        <v>190</v>
      </c>
      <c r="D213" s="252" t="s">
        <v>205</v>
      </c>
      <c r="E213" s="252" t="s">
        <v>369</v>
      </c>
      <c r="F213" s="252" t="s">
        <v>303</v>
      </c>
      <c r="G213" s="256"/>
      <c r="H213" s="256"/>
      <c r="I213" s="257"/>
      <c r="J213" s="257" t="e">
        <f>#REF!+I213</f>
        <v>#REF!</v>
      </c>
      <c r="K213" s="257"/>
      <c r="L213" s="257" t="e">
        <f>F213+J213</f>
        <v>#REF!</v>
      </c>
      <c r="M213" s="257">
        <f t="shared" si="136"/>
        <v>0</v>
      </c>
      <c r="N213" s="257" t="e">
        <f t="shared" si="136"/>
        <v>#REF!</v>
      </c>
    </row>
    <row r="214" spans="1:14" ht="25.5" hidden="1" customHeight="1" x14ac:dyDescent="0.2">
      <c r="A214" s="259" t="s">
        <v>147</v>
      </c>
      <c r="B214" s="252" t="s">
        <v>130</v>
      </c>
      <c r="C214" s="252" t="s">
        <v>190</v>
      </c>
      <c r="D214" s="252" t="s">
        <v>205</v>
      </c>
      <c r="E214" s="252" t="s">
        <v>370</v>
      </c>
      <c r="F214" s="252"/>
      <c r="G214" s="256"/>
      <c r="H214" s="256"/>
      <c r="I214" s="257"/>
      <c r="J214" s="257" t="e">
        <f>J215</f>
        <v>#REF!</v>
      </c>
      <c r="K214" s="257"/>
      <c r="L214" s="257" t="e">
        <f>L215</f>
        <v>#REF!</v>
      </c>
      <c r="M214" s="257">
        <f t="shared" ref="M214:N214" si="137">M215</f>
        <v>0</v>
      </c>
      <c r="N214" s="257" t="e">
        <f t="shared" si="137"/>
        <v>#REF!</v>
      </c>
    </row>
    <row r="215" spans="1:14" ht="12.75" hidden="1" customHeight="1" x14ac:dyDescent="0.2">
      <c r="A215" s="259" t="s">
        <v>300</v>
      </c>
      <c r="B215" s="252" t="s">
        <v>130</v>
      </c>
      <c r="C215" s="252" t="s">
        <v>190</v>
      </c>
      <c r="D215" s="252" t="s">
        <v>205</v>
      </c>
      <c r="E215" s="252" t="s">
        <v>370</v>
      </c>
      <c r="F215" s="252" t="s">
        <v>301</v>
      </c>
      <c r="G215" s="256"/>
      <c r="H215" s="256"/>
      <c r="I215" s="257"/>
      <c r="J215" s="257" t="e">
        <f>#REF!+I215</f>
        <v>#REF!</v>
      </c>
      <c r="K215" s="257"/>
      <c r="L215" s="257" t="e">
        <f>F215+J215</f>
        <v>#REF!</v>
      </c>
      <c r="M215" s="257">
        <f t="shared" ref="M215:N215" si="138">G215+K215</f>
        <v>0</v>
      </c>
      <c r="N215" s="257" t="e">
        <f t="shared" si="138"/>
        <v>#REF!</v>
      </c>
    </row>
    <row r="216" spans="1:14" ht="12.75" hidden="1" customHeight="1" x14ac:dyDescent="0.2">
      <c r="A216" s="398" t="s">
        <v>206</v>
      </c>
      <c r="B216" s="250" t="s">
        <v>130</v>
      </c>
      <c r="C216" s="250" t="s">
        <v>190</v>
      </c>
      <c r="D216" s="250" t="s">
        <v>207</v>
      </c>
      <c r="E216" s="252"/>
      <c r="F216" s="252"/>
      <c r="G216" s="256"/>
      <c r="H216" s="256"/>
      <c r="I216" s="257"/>
      <c r="J216" s="257" t="e">
        <f>J217</f>
        <v>#REF!</v>
      </c>
      <c r="K216" s="257"/>
      <c r="L216" s="257" t="e">
        <f>L217</f>
        <v>#REF!</v>
      </c>
      <c r="M216" s="257">
        <f t="shared" ref="M216:N217" si="139">M217</f>
        <v>0</v>
      </c>
      <c r="N216" s="257" t="e">
        <f t="shared" si="139"/>
        <v>#REF!</v>
      </c>
    </row>
    <row r="217" spans="1:14" ht="25.5" hidden="1" customHeight="1" x14ac:dyDescent="0.2">
      <c r="A217" s="266" t="s">
        <v>371</v>
      </c>
      <c r="B217" s="252" t="s">
        <v>130</v>
      </c>
      <c r="C217" s="252" t="s">
        <v>190</v>
      </c>
      <c r="D217" s="252" t="s">
        <v>207</v>
      </c>
      <c r="E217" s="252" t="s">
        <v>372</v>
      </c>
      <c r="F217" s="252"/>
      <c r="G217" s="256"/>
      <c r="H217" s="256"/>
      <c r="I217" s="257"/>
      <c r="J217" s="257" t="e">
        <f>J218</f>
        <v>#REF!</v>
      </c>
      <c r="K217" s="257"/>
      <c r="L217" s="257" t="e">
        <f>L218</f>
        <v>#REF!</v>
      </c>
      <c r="M217" s="257">
        <f t="shared" si="139"/>
        <v>0</v>
      </c>
      <c r="N217" s="257" t="e">
        <f t="shared" si="139"/>
        <v>#REF!</v>
      </c>
    </row>
    <row r="218" spans="1:14" ht="12.75" hidden="1" customHeight="1" x14ac:dyDescent="0.2">
      <c r="A218" s="259" t="s">
        <v>320</v>
      </c>
      <c r="B218" s="252" t="s">
        <v>130</v>
      </c>
      <c r="C218" s="252" t="s">
        <v>190</v>
      </c>
      <c r="D218" s="252" t="s">
        <v>207</v>
      </c>
      <c r="E218" s="252" t="s">
        <v>372</v>
      </c>
      <c r="F218" s="252" t="s">
        <v>321</v>
      </c>
      <c r="G218" s="256"/>
      <c r="H218" s="256"/>
      <c r="I218" s="257"/>
      <c r="J218" s="257" t="e">
        <f>#REF!+I218</f>
        <v>#REF!</v>
      </c>
      <c r="K218" s="257"/>
      <c r="L218" s="257" t="e">
        <f>F218+J218</f>
        <v>#REF!</v>
      </c>
      <c r="M218" s="257">
        <f t="shared" ref="M218:N218" si="140">G218+K218</f>
        <v>0</v>
      </c>
      <c r="N218" s="257" t="e">
        <f t="shared" si="140"/>
        <v>#REF!</v>
      </c>
    </row>
    <row r="219" spans="1:14" s="19" customFormat="1" ht="12.75" hidden="1" customHeight="1" x14ac:dyDescent="0.2">
      <c r="A219" s="398" t="s">
        <v>72</v>
      </c>
      <c r="B219" s="250" t="s">
        <v>130</v>
      </c>
      <c r="C219" s="250" t="s">
        <v>190</v>
      </c>
      <c r="D219" s="250"/>
      <c r="E219" s="249"/>
      <c r="F219" s="249"/>
      <c r="G219" s="264"/>
      <c r="H219" s="264"/>
      <c r="I219" s="275"/>
      <c r="J219" s="275" t="e">
        <f>J220</f>
        <v>#REF!</v>
      </c>
      <c r="K219" s="275"/>
      <c r="L219" s="275" t="e">
        <f t="shared" ref="L219:N222" si="141">L220</f>
        <v>#REF!</v>
      </c>
      <c r="M219" s="275">
        <f t="shared" si="141"/>
        <v>0</v>
      </c>
      <c r="N219" s="275" t="e">
        <f t="shared" si="141"/>
        <v>#REF!</v>
      </c>
    </row>
    <row r="220" spans="1:14" ht="12.75" hidden="1" customHeight="1" x14ac:dyDescent="0.2">
      <c r="A220" s="398" t="s">
        <v>206</v>
      </c>
      <c r="B220" s="250" t="s">
        <v>130</v>
      </c>
      <c r="C220" s="250" t="s">
        <v>190</v>
      </c>
      <c r="D220" s="250" t="s">
        <v>207</v>
      </c>
      <c r="E220" s="249"/>
      <c r="F220" s="249"/>
      <c r="G220" s="256"/>
      <c r="H220" s="256"/>
      <c r="I220" s="257"/>
      <c r="J220" s="257" t="e">
        <f>J221</f>
        <v>#REF!</v>
      </c>
      <c r="K220" s="257"/>
      <c r="L220" s="257" t="e">
        <f t="shared" si="141"/>
        <v>#REF!</v>
      </c>
      <c r="M220" s="257">
        <f t="shared" si="141"/>
        <v>0</v>
      </c>
      <c r="N220" s="257" t="e">
        <f t="shared" si="141"/>
        <v>#REF!</v>
      </c>
    </row>
    <row r="221" spans="1:14" ht="12.75" hidden="1" customHeight="1" x14ac:dyDescent="0.2">
      <c r="A221" s="259" t="s">
        <v>61</v>
      </c>
      <c r="B221" s="252" t="s">
        <v>130</v>
      </c>
      <c r="C221" s="252" t="s">
        <v>190</v>
      </c>
      <c r="D221" s="252" t="s">
        <v>207</v>
      </c>
      <c r="E221" s="251" t="s">
        <v>62</v>
      </c>
      <c r="F221" s="252"/>
      <c r="G221" s="256"/>
      <c r="H221" s="256"/>
      <c r="I221" s="257"/>
      <c r="J221" s="257" t="e">
        <f>J222</f>
        <v>#REF!</v>
      </c>
      <c r="K221" s="257"/>
      <c r="L221" s="257" t="e">
        <f t="shared" si="141"/>
        <v>#REF!</v>
      </c>
      <c r="M221" s="257">
        <f t="shared" si="141"/>
        <v>0</v>
      </c>
      <c r="N221" s="257" t="e">
        <f t="shared" si="141"/>
        <v>#REF!</v>
      </c>
    </row>
    <row r="222" spans="1:14" ht="25.5" hidden="1" customHeight="1" x14ac:dyDescent="0.2">
      <c r="A222" s="259" t="s">
        <v>135</v>
      </c>
      <c r="B222" s="252" t="s">
        <v>130</v>
      </c>
      <c r="C222" s="252" t="s">
        <v>190</v>
      </c>
      <c r="D222" s="252" t="s">
        <v>207</v>
      </c>
      <c r="E222" s="251" t="s">
        <v>134</v>
      </c>
      <c r="F222" s="252"/>
      <c r="G222" s="256"/>
      <c r="H222" s="256"/>
      <c r="I222" s="257"/>
      <c r="J222" s="257" t="e">
        <f>J223</f>
        <v>#REF!</v>
      </c>
      <c r="K222" s="257"/>
      <c r="L222" s="257" t="e">
        <f t="shared" si="141"/>
        <v>#REF!</v>
      </c>
      <c r="M222" s="257">
        <f t="shared" si="141"/>
        <v>0</v>
      </c>
      <c r="N222" s="257" t="e">
        <f t="shared" si="141"/>
        <v>#REF!</v>
      </c>
    </row>
    <row r="223" spans="1:14" ht="38.25" hidden="1" customHeight="1" x14ac:dyDescent="0.2">
      <c r="A223" s="259" t="s">
        <v>76</v>
      </c>
      <c r="B223" s="252" t="s">
        <v>130</v>
      </c>
      <c r="C223" s="252" t="s">
        <v>190</v>
      </c>
      <c r="D223" s="252" t="s">
        <v>207</v>
      </c>
      <c r="E223" s="251" t="s">
        <v>134</v>
      </c>
      <c r="F223" s="252" t="s">
        <v>77</v>
      </c>
      <c r="G223" s="256"/>
      <c r="H223" s="256"/>
      <c r="I223" s="257"/>
      <c r="J223" s="257" t="e">
        <f>#REF!+I223</f>
        <v>#REF!</v>
      </c>
      <c r="K223" s="257"/>
      <c r="L223" s="257" t="e">
        <f>F223+J223</f>
        <v>#REF!</v>
      </c>
      <c r="M223" s="257">
        <f t="shared" ref="M223:N223" si="142">G223+K223</f>
        <v>0</v>
      </c>
      <c r="N223" s="257" t="e">
        <f t="shared" si="142"/>
        <v>#REF!</v>
      </c>
    </row>
    <row r="224" spans="1:14" s="19" customFormat="1" ht="14.25" x14ac:dyDescent="0.2">
      <c r="A224" s="398" t="s">
        <v>298</v>
      </c>
      <c r="B224" s="250" t="s">
        <v>130</v>
      </c>
      <c r="C224" s="250" t="s">
        <v>202</v>
      </c>
      <c r="D224" s="250"/>
      <c r="E224" s="250"/>
      <c r="F224" s="250"/>
      <c r="G224" s="275" t="e">
        <f>G225+#REF!+G266+G276+G286</f>
        <v>#REF!</v>
      </c>
      <c r="H224" s="275" t="e">
        <f>H225+H231+H266+H276+H286</f>
        <v>#REF!</v>
      </c>
      <c r="I224" s="275" t="e">
        <f>I225+I231+I266+I276+I286</f>
        <v>#REF!</v>
      </c>
      <c r="J224" s="275" t="e">
        <f>J225+J231+J266+J276+J286</f>
        <v>#REF!</v>
      </c>
      <c r="K224" s="275" t="e">
        <f>K225+K231+K266+K276+K286</f>
        <v>#REF!</v>
      </c>
      <c r="L224" s="275">
        <f>L225+L231+L258+L276+L286</f>
        <v>274602.58</v>
      </c>
      <c r="M224" s="275">
        <f>M225+M231+M258+M276+M286</f>
        <v>44102.820000000007</v>
      </c>
      <c r="N224" s="275">
        <f>N225+N231+N258+N276+N286</f>
        <v>318705.40000000008</v>
      </c>
    </row>
    <row r="225" spans="1:14" s="19" customFormat="1" ht="13.5" customHeight="1" x14ac:dyDescent="0.2">
      <c r="A225" s="268" t="s">
        <v>227</v>
      </c>
      <c r="B225" s="250" t="s">
        <v>130</v>
      </c>
      <c r="C225" s="250" t="s">
        <v>202</v>
      </c>
      <c r="D225" s="250" t="s">
        <v>190</v>
      </c>
      <c r="E225" s="250"/>
      <c r="F225" s="250"/>
      <c r="G225" s="275" t="e">
        <f>#REF!+#REF!</f>
        <v>#REF!</v>
      </c>
      <c r="H225" s="275" t="e">
        <f>#REF!</f>
        <v>#REF!</v>
      </c>
      <c r="I225" s="275" t="e">
        <f>#REF!</f>
        <v>#REF!</v>
      </c>
      <c r="J225" s="275" t="e">
        <f>#REF!</f>
        <v>#REF!</v>
      </c>
      <c r="K225" s="275" t="e">
        <f>#REF!</f>
        <v>#REF!</v>
      </c>
      <c r="L225" s="275">
        <f>L226</f>
        <v>2100</v>
      </c>
      <c r="M225" s="275">
        <f>M226</f>
        <v>50529.020000000004</v>
      </c>
      <c r="N225" s="275">
        <f>N226</f>
        <v>52629.020000000004</v>
      </c>
    </row>
    <row r="226" spans="1:14" s="19" customFormat="1" ht="33" customHeight="1" x14ac:dyDescent="0.2">
      <c r="A226" s="259" t="s">
        <v>987</v>
      </c>
      <c r="B226" s="252" t="s">
        <v>130</v>
      </c>
      <c r="C226" s="252" t="s">
        <v>202</v>
      </c>
      <c r="D226" s="252" t="s">
        <v>190</v>
      </c>
      <c r="E226" s="252" t="s">
        <v>749</v>
      </c>
      <c r="F226" s="252"/>
      <c r="G226" s="257">
        <f>G228+G229+G227</f>
        <v>0</v>
      </c>
      <c r="H226" s="257">
        <f t="shared" ref="H226:N226" si="143">H227+H228+H229+H230</f>
        <v>17617.8</v>
      </c>
      <c r="I226" s="257">
        <f t="shared" si="143"/>
        <v>1779.49</v>
      </c>
      <c r="J226" s="257">
        <f t="shared" si="143"/>
        <v>19397.29</v>
      </c>
      <c r="K226" s="257">
        <f t="shared" si="143"/>
        <v>500</v>
      </c>
      <c r="L226" s="257">
        <f t="shared" si="143"/>
        <v>2100</v>
      </c>
      <c r="M226" s="257">
        <f t="shared" si="143"/>
        <v>50529.020000000004</v>
      </c>
      <c r="N226" s="257">
        <f t="shared" si="143"/>
        <v>52629.020000000004</v>
      </c>
    </row>
    <row r="227" spans="1:14" s="19" customFormat="1" ht="33" customHeight="1" x14ac:dyDescent="0.2">
      <c r="A227" s="259" t="s">
        <v>76</v>
      </c>
      <c r="B227" s="252" t="s">
        <v>130</v>
      </c>
      <c r="C227" s="252" t="s">
        <v>202</v>
      </c>
      <c r="D227" s="252" t="s">
        <v>190</v>
      </c>
      <c r="E227" s="252" t="s">
        <v>749</v>
      </c>
      <c r="F227" s="252" t="s">
        <v>77</v>
      </c>
      <c r="G227" s="359"/>
      <c r="H227" s="257">
        <v>4000</v>
      </c>
      <c r="I227" s="257">
        <v>0</v>
      </c>
      <c r="J227" s="257">
        <f>H227+I227</f>
        <v>4000</v>
      </c>
      <c r="K227" s="257">
        <v>500</v>
      </c>
      <c r="L227" s="257">
        <v>2000</v>
      </c>
      <c r="M227" s="257">
        <v>-1000</v>
      </c>
      <c r="N227" s="257">
        <f>L227+M227</f>
        <v>1000</v>
      </c>
    </row>
    <row r="228" spans="1:14" s="19" customFormat="1" ht="32.25" customHeight="1" x14ac:dyDescent="0.2">
      <c r="A228" s="259" t="s">
        <v>76</v>
      </c>
      <c r="B228" s="252" t="s">
        <v>130</v>
      </c>
      <c r="C228" s="252" t="s">
        <v>202</v>
      </c>
      <c r="D228" s="252" t="s">
        <v>190</v>
      </c>
      <c r="E228" s="252" t="s">
        <v>864</v>
      </c>
      <c r="F228" s="252" t="s">
        <v>77</v>
      </c>
      <c r="G228" s="264"/>
      <c r="H228" s="257">
        <v>13517.8</v>
      </c>
      <c r="I228" s="257">
        <v>1729.49</v>
      </c>
      <c r="J228" s="257">
        <f>H228+I228</f>
        <v>15247.289999999999</v>
      </c>
      <c r="K228" s="257">
        <v>0</v>
      </c>
      <c r="L228" s="257">
        <v>0</v>
      </c>
      <c r="M228" s="257">
        <v>19170</v>
      </c>
      <c r="N228" s="257">
        <f t="shared" ref="N228:N230" si="144">L228+M228</f>
        <v>19170</v>
      </c>
    </row>
    <row r="229" spans="1:14" s="19" customFormat="1" ht="18" customHeight="1" x14ac:dyDescent="0.2">
      <c r="A229" s="259" t="s">
        <v>78</v>
      </c>
      <c r="B229" s="252" t="s">
        <v>130</v>
      </c>
      <c r="C229" s="252" t="s">
        <v>202</v>
      </c>
      <c r="D229" s="252" t="s">
        <v>190</v>
      </c>
      <c r="E229" s="252" t="s">
        <v>749</v>
      </c>
      <c r="F229" s="252" t="s">
        <v>79</v>
      </c>
      <c r="G229" s="256"/>
      <c r="H229" s="257">
        <v>100</v>
      </c>
      <c r="I229" s="257">
        <v>0</v>
      </c>
      <c r="J229" s="257">
        <f>H229+I229</f>
        <v>100</v>
      </c>
      <c r="K229" s="257">
        <v>0</v>
      </c>
      <c r="L229" s="257">
        <v>100</v>
      </c>
      <c r="M229" s="257">
        <v>-100</v>
      </c>
      <c r="N229" s="257">
        <f t="shared" si="144"/>
        <v>0</v>
      </c>
    </row>
    <row r="230" spans="1:14" s="19" customFormat="1" ht="34.5" customHeight="1" x14ac:dyDescent="0.2">
      <c r="A230" s="259" t="s">
        <v>76</v>
      </c>
      <c r="B230" s="252" t="s">
        <v>130</v>
      </c>
      <c r="C230" s="252" t="s">
        <v>202</v>
      </c>
      <c r="D230" s="252" t="s">
        <v>190</v>
      </c>
      <c r="E230" s="252" t="s">
        <v>1018</v>
      </c>
      <c r="F230" s="252" t="s">
        <v>79</v>
      </c>
      <c r="G230" s="256"/>
      <c r="H230" s="258">
        <v>0</v>
      </c>
      <c r="I230" s="258">
        <v>50</v>
      </c>
      <c r="J230" s="258">
        <f>H230+I230</f>
        <v>50</v>
      </c>
      <c r="K230" s="258">
        <v>0</v>
      </c>
      <c r="L230" s="258">
        <v>0</v>
      </c>
      <c r="M230" s="258">
        <v>32459.02</v>
      </c>
      <c r="N230" s="257">
        <f t="shared" si="144"/>
        <v>32459.02</v>
      </c>
    </row>
    <row r="231" spans="1:14" s="19" customFormat="1" ht="18" customHeight="1" x14ac:dyDescent="0.2">
      <c r="A231" s="398" t="s">
        <v>228</v>
      </c>
      <c r="B231" s="250" t="s">
        <v>130</v>
      </c>
      <c r="C231" s="250" t="s">
        <v>202</v>
      </c>
      <c r="D231" s="250" t="s">
        <v>192</v>
      </c>
      <c r="E231" s="252"/>
      <c r="F231" s="252"/>
      <c r="G231" s="256"/>
      <c r="H231" s="258">
        <f>H232</f>
        <v>244444.29</v>
      </c>
      <c r="I231" s="258">
        <f>I232</f>
        <v>26289.989999999998</v>
      </c>
      <c r="J231" s="258">
        <f>J232</f>
        <v>270734.28000000003</v>
      </c>
      <c r="K231" s="258" t="e">
        <f>K232+#REF!+#REF!+#REF!+#REF!</f>
        <v>#REF!</v>
      </c>
      <c r="L231" s="258">
        <f>L232</f>
        <v>230835.98</v>
      </c>
      <c r="M231" s="258">
        <f>M232+M257</f>
        <v>-7199.0199999999995</v>
      </c>
      <c r="N231" s="258">
        <f>N232+N257</f>
        <v>223636.96000000002</v>
      </c>
    </row>
    <row r="232" spans="1:14" ht="36" customHeight="1" x14ac:dyDescent="0.2">
      <c r="A232" s="259" t="s">
        <v>976</v>
      </c>
      <c r="B232" s="252" t="s">
        <v>130</v>
      </c>
      <c r="C232" s="252" t="s">
        <v>202</v>
      </c>
      <c r="D232" s="252" t="s">
        <v>192</v>
      </c>
      <c r="E232" s="251" t="s">
        <v>784</v>
      </c>
      <c r="F232" s="252"/>
      <c r="G232" s="258">
        <f>G233+G234+G235+G243+G245+G247+G251+G253+G255</f>
        <v>0</v>
      </c>
      <c r="H232" s="258">
        <f>H233+H234+H235+H243+H245+H247+H251+H253+H255+H257+H259+H242</f>
        <v>244444.29</v>
      </c>
      <c r="I232" s="258">
        <f>I233+I234+I235+I243+I245+I247+I251+I253+I255+I257+I259+I242</f>
        <v>26289.989999999998</v>
      </c>
      <c r="J232" s="257">
        <f>J233+J234+J235+J243+J245+J247+J251+J253+J255+J257+J259+J242</f>
        <v>270734.28000000003</v>
      </c>
      <c r="K232" s="258">
        <f>K233+K234+K235+K243+K245+K247+K251+K253+K255+K257+K259+K242+K249</f>
        <v>-1924.4799999999996</v>
      </c>
      <c r="L232" s="257">
        <f>L233+L234+L235+L243+L245+L247+L251+L253+L255+L257+L242+L249</f>
        <v>230835.98</v>
      </c>
      <c r="M232" s="258">
        <f>M233+M234+M235+M243+M245+M247+M251+M253+M255+M242+M249</f>
        <v>-7487.5199999999995</v>
      </c>
      <c r="N232" s="258">
        <f>N233+N234+N235+N243+N245+N247+N251+N253+N255+N242+N249</f>
        <v>223348.46000000002</v>
      </c>
    </row>
    <row r="233" spans="1:14" ht="17.25" customHeight="1" x14ac:dyDescent="0.2">
      <c r="A233" s="259" t="s">
        <v>496</v>
      </c>
      <c r="B233" s="252" t="s">
        <v>130</v>
      </c>
      <c r="C233" s="252" t="s">
        <v>202</v>
      </c>
      <c r="D233" s="252" t="s">
        <v>192</v>
      </c>
      <c r="E233" s="251" t="s">
        <v>783</v>
      </c>
      <c r="F233" s="252" t="s">
        <v>77</v>
      </c>
      <c r="G233" s="256"/>
      <c r="H233" s="257">
        <v>18791.29</v>
      </c>
      <c r="I233" s="258">
        <f>-1500+1851.48</f>
        <v>351.48</v>
      </c>
      <c r="J233" s="258">
        <f>H233+I233</f>
        <v>19142.77</v>
      </c>
      <c r="K233" s="258">
        <v>-1755.05</v>
      </c>
      <c r="L233" s="258">
        <f>19869.07+2000</f>
        <v>21869.07</v>
      </c>
      <c r="M233" s="258">
        <f>-9939.07+4895-1000</f>
        <v>-6044.07</v>
      </c>
      <c r="N233" s="258">
        <f>L233+M233</f>
        <v>15825</v>
      </c>
    </row>
    <row r="234" spans="1:14" ht="18.75" customHeight="1" x14ac:dyDescent="0.2">
      <c r="A234" s="259" t="s">
        <v>496</v>
      </c>
      <c r="B234" s="252" t="s">
        <v>130</v>
      </c>
      <c r="C234" s="252" t="s">
        <v>202</v>
      </c>
      <c r="D234" s="252" t="s">
        <v>192</v>
      </c>
      <c r="E234" s="251" t="s">
        <v>785</v>
      </c>
      <c r="F234" s="252" t="s">
        <v>77</v>
      </c>
      <c r="G234" s="256"/>
      <c r="H234" s="257">
        <v>44069.2</v>
      </c>
      <c r="I234" s="258">
        <v>-1729.49</v>
      </c>
      <c r="J234" s="258">
        <f t="shared" ref="J234:J257" si="145">H234+I234</f>
        <v>42339.71</v>
      </c>
      <c r="K234" s="258">
        <v>0</v>
      </c>
      <c r="L234" s="258">
        <f>47545-16557.49</f>
        <v>30987.51</v>
      </c>
      <c r="M234" s="258">
        <f>18662.49+134.1</f>
        <v>18796.59</v>
      </c>
      <c r="N234" s="258">
        <f t="shared" ref="N234:N235" si="146">L234+M234</f>
        <v>49784.1</v>
      </c>
    </row>
    <row r="235" spans="1:14" ht="18.75" customHeight="1" x14ac:dyDescent="0.2">
      <c r="A235" s="259" t="s">
        <v>497</v>
      </c>
      <c r="B235" s="252" t="s">
        <v>130</v>
      </c>
      <c r="C235" s="252" t="s">
        <v>202</v>
      </c>
      <c r="D235" s="252" t="s">
        <v>192</v>
      </c>
      <c r="E235" s="251" t="s">
        <v>783</v>
      </c>
      <c r="F235" s="252" t="s">
        <v>94</v>
      </c>
      <c r="G235" s="256"/>
      <c r="H235" s="257">
        <v>150</v>
      </c>
      <c r="I235" s="258">
        <v>0</v>
      </c>
      <c r="J235" s="258">
        <f t="shared" si="145"/>
        <v>150</v>
      </c>
      <c r="K235" s="258">
        <v>0</v>
      </c>
      <c r="L235" s="258">
        <v>150</v>
      </c>
      <c r="M235" s="258">
        <v>0</v>
      </c>
      <c r="N235" s="258">
        <f t="shared" si="146"/>
        <v>150</v>
      </c>
    </row>
    <row r="236" spans="1:14" ht="24.75" hidden="1" customHeight="1" x14ac:dyDescent="0.2">
      <c r="A236" s="259" t="s">
        <v>536</v>
      </c>
      <c r="B236" s="252" t="s">
        <v>130</v>
      </c>
      <c r="C236" s="252" t="s">
        <v>202</v>
      </c>
      <c r="D236" s="252" t="s">
        <v>192</v>
      </c>
      <c r="E236" s="251" t="s">
        <v>782</v>
      </c>
      <c r="F236" s="252"/>
      <c r="G236" s="360">
        <f>G237+G238</f>
        <v>0</v>
      </c>
      <c r="H236" s="257"/>
      <c r="I236" s="258">
        <f>I237+I238</f>
        <v>0</v>
      </c>
      <c r="J236" s="258">
        <f t="shared" si="145"/>
        <v>0</v>
      </c>
      <c r="K236" s="258">
        <f>K237+K238</f>
        <v>0</v>
      </c>
      <c r="L236" s="258">
        <f t="shared" ref="L236:L241" si="147">I236+J236</f>
        <v>0</v>
      </c>
      <c r="M236" s="258"/>
      <c r="N236" s="258">
        <f t="shared" ref="N236:N241" si="148">J236+K236</f>
        <v>0</v>
      </c>
    </row>
    <row r="237" spans="1:14" ht="24.75" hidden="1" customHeight="1" x14ac:dyDescent="0.2">
      <c r="A237" s="259" t="s">
        <v>76</v>
      </c>
      <c r="B237" s="252" t="s">
        <v>130</v>
      </c>
      <c r="C237" s="252" t="s">
        <v>202</v>
      </c>
      <c r="D237" s="252" t="s">
        <v>192</v>
      </c>
      <c r="E237" s="251" t="s">
        <v>782</v>
      </c>
      <c r="F237" s="252" t="s">
        <v>77</v>
      </c>
      <c r="G237" s="256"/>
      <c r="H237" s="257"/>
      <c r="I237" s="258"/>
      <c r="J237" s="258">
        <f t="shared" si="145"/>
        <v>0</v>
      </c>
      <c r="K237" s="258"/>
      <c r="L237" s="258">
        <f t="shared" si="147"/>
        <v>0</v>
      </c>
      <c r="M237" s="258"/>
      <c r="N237" s="258">
        <f t="shared" si="148"/>
        <v>0</v>
      </c>
    </row>
    <row r="238" spans="1:14" ht="24.75" hidden="1" customHeight="1" x14ac:dyDescent="0.2">
      <c r="A238" s="259" t="s">
        <v>78</v>
      </c>
      <c r="B238" s="252" t="s">
        <v>130</v>
      </c>
      <c r="C238" s="252" t="s">
        <v>202</v>
      </c>
      <c r="D238" s="252" t="s">
        <v>192</v>
      </c>
      <c r="E238" s="251" t="s">
        <v>782</v>
      </c>
      <c r="F238" s="252" t="s">
        <v>79</v>
      </c>
      <c r="G238" s="256"/>
      <c r="H238" s="257"/>
      <c r="I238" s="258"/>
      <c r="J238" s="258">
        <f t="shared" si="145"/>
        <v>0</v>
      </c>
      <c r="K238" s="258"/>
      <c r="L238" s="258">
        <f t="shared" si="147"/>
        <v>0</v>
      </c>
      <c r="M238" s="258"/>
      <c r="N238" s="258">
        <f t="shared" si="148"/>
        <v>0</v>
      </c>
    </row>
    <row r="239" spans="1:14" ht="24.75" hidden="1" customHeight="1" x14ac:dyDescent="0.2">
      <c r="A239" s="259" t="s">
        <v>537</v>
      </c>
      <c r="B239" s="252" t="s">
        <v>130</v>
      </c>
      <c r="C239" s="252" t="s">
        <v>202</v>
      </c>
      <c r="D239" s="252" t="s">
        <v>192</v>
      </c>
      <c r="E239" s="251" t="s">
        <v>781</v>
      </c>
      <c r="F239" s="252"/>
      <c r="G239" s="360">
        <f>G240+G241</f>
        <v>0</v>
      </c>
      <c r="H239" s="257"/>
      <c r="I239" s="258">
        <f>I240+I241</f>
        <v>0</v>
      </c>
      <c r="J239" s="258">
        <f t="shared" si="145"/>
        <v>0</v>
      </c>
      <c r="K239" s="258">
        <f>K240+K241</f>
        <v>0</v>
      </c>
      <c r="L239" s="258">
        <f t="shared" si="147"/>
        <v>0</v>
      </c>
      <c r="M239" s="258"/>
      <c r="N239" s="258">
        <f t="shared" si="148"/>
        <v>0</v>
      </c>
    </row>
    <row r="240" spans="1:14" ht="41.25" hidden="1" customHeight="1" x14ac:dyDescent="0.2">
      <c r="A240" s="259" t="s">
        <v>76</v>
      </c>
      <c r="B240" s="252" t="s">
        <v>130</v>
      </c>
      <c r="C240" s="252" t="s">
        <v>202</v>
      </c>
      <c r="D240" s="252" t="s">
        <v>192</v>
      </c>
      <c r="E240" s="251" t="s">
        <v>781</v>
      </c>
      <c r="F240" s="252" t="s">
        <v>77</v>
      </c>
      <c r="G240" s="256"/>
      <c r="H240" s="257"/>
      <c r="I240" s="258"/>
      <c r="J240" s="258">
        <f t="shared" si="145"/>
        <v>0</v>
      </c>
      <c r="K240" s="258"/>
      <c r="L240" s="258">
        <f t="shared" si="147"/>
        <v>0</v>
      </c>
      <c r="M240" s="258"/>
      <c r="N240" s="258">
        <f t="shared" si="148"/>
        <v>0</v>
      </c>
    </row>
    <row r="241" spans="1:14" ht="24.75" hidden="1" customHeight="1" x14ac:dyDescent="0.2">
      <c r="A241" s="259" t="s">
        <v>78</v>
      </c>
      <c r="B241" s="252" t="s">
        <v>130</v>
      </c>
      <c r="C241" s="252" t="s">
        <v>202</v>
      </c>
      <c r="D241" s="252" t="s">
        <v>192</v>
      </c>
      <c r="E241" s="251" t="s">
        <v>781</v>
      </c>
      <c r="F241" s="252" t="s">
        <v>79</v>
      </c>
      <c r="G241" s="256"/>
      <c r="H241" s="257"/>
      <c r="I241" s="258"/>
      <c r="J241" s="258">
        <f t="shared" si="145"/>
        <v>0</v>
      </c>
      <c r="K241" s="258"/>
      <c r="L241" s="258">
        <f t="shared" si="147"/>
        <v>0</v>
      </c>
      <c r="M241" s="258"/>
      <c r="N241" s="258">
        <f t="shared" si="148"/>
        <v>0</v>
      </c>
    </row>
    <row r="242" spans="1:14" ht="36.75" hidden="1" customHeight="1" x14ac:dyDescent="0.2">
      <c r="A242" s="259" t="s">
        <v>902</v>
      </c>
      <c r="B242" s="252" t="s">
        <v>130</v>
      </c>
      <c r="C242" s="252" t="s">
        <v>202</v>
      </c>
      <c r="D242" s="252" t="s">
        <v>192</v>
      </c>
      <c r="E242" s="251" t="s">
        <v>917</v>
      </c>
      <c r="F242" s="252" t="s">
        <v>79</v>
      </c>
      <c r="G242" s="256"/>
      <c r="H242" s="257">
        <v>0</v>
      </c>
      <c r="I242" s="258">
        <v>1120</v>
      </c>
      <c r="J242" s="258">
        <f>H242+I242</f>
        <v>1120</v>
      </c>
      <c r="K242" s="258">
        <v>0</v>
      </c>
      <c r="L242" s="258">
        <v>0</v>
      </c>
      <c r="M242" s="258"/>
      <c r="N242" s="258">
        <v>0</v>
      </c>
    </row>
    <row r="243" spans="1:14" ht="21.75" hidden="1" customHeight="1" x14ac:dyDescent="0.2">
      <c r="A243" s="259" t="s">
        <v>780</v>
      </c>
      <c r="B243" s="252" t="s">
        <v>130</v>
      </c>
      <c r="C243" s="252" t="s">
        <v>202</v>
      </c>
      <c r="D243" s="252" t="s">
        <v>192</v>
      </c>
      <c r="E243" s="251" t="s">
        <v>779</v>
      </c>
      <c r="F243" s="252"/>
      <c r="G243" s="256"/>
      <c r="H243" s="257">
        <f>H244</f>
        <v>624</v>
      </c>
      <c r="I243" s="257">
        <f>I244</f>
        <v>0</v>
      </c>
      <c r="J243" s="258">
        <f t="shared" si="145"/>
        <v>624</v>
      </c>
      <c r="K243" s="257">
        <f>K244</f>
        <v>0</v>
      </c>
      <c r="L243" s="258">
        <f>L244</f>
        <v>0</v>
      </c>
      <c r="M243" s="258"/>
      <c r="N243" s="258">
        <f>N244</f>
        <v>0</v>
      </c>
    </row>
    <row r="244" spans="1:14" ht="20.25" hidden="1" customHeight="1" x14ac:dyDescent="0.2">
      <c r="A244" s="259" t="s">
        <v>78</v>
      </c>
      <c r="B244" s="252" t="s">
        <v>130</v>
      </c>
      <c r="C244" s="252" t="s">
        <v>202</v>
      </c>
      <c r="D244" s="252" t="s">
        <v>192</v>
      </c>
      <c r="E244" s="251" t="s">
        <v>779</v>
      </c>
      <c r="F244" s="252" t="s">
        <v>79</v>
      </c>
      <c r="G244" s="256"/>
      <c r="H244" s="257">
        <v>624</v>
      </c>
      <c r="I244" s="258">
        <v>0</v>
      </c>
      <c r="J244" s="258">
        <f t="shared" si="145"/>
        <v>624</v>
      </c>
      <c r="K244" s="258">
        <v>0</v>
      </c>
      <c r="L244" s="258">
        <v>0</v>
      </c>
      <c r="M244" s="258"/>
      <c r="N244" s="258">
        <v>0</v>
      </c>
    </row>
    <row r="245" spans="1:14" ht="107.25" customHeight="1" x14ac:dyDescent="0.2">
      <c r="A245" s="259" t="s">
        <v>942</v>
      </c>
      <c r="B245" s="252" t="s">
        <v>130</v>
      </c>
      <c r="C245" s="252" t="s">
        <v>202</v>
      </c>
      <c r="D245" s="252" t="s">
        <v>192</v>
      </c>
      <c r="E245" s="251" t="s">
        <v>778</v>
      </c>
      <c r="F245" s="252"/>
      <c r="G245" s="256"/>
      <c r="H245" s="257">
        <f>H246</f>
        <v>174462.7</v>
      </c>
      <c r="I245" s="258">
        <f>I246</f>
        <v>5065</v>
      </c>
      <c r="J245" s="258">
        <f t="shared" si="145"/>
        <v>179527.7</v>
      </c>
      <c r="K245" s="258">
        <f>K246</f>
        <v>-3826.2</v>
      </c>
      <c r="L245" s="258">
        <f>L246</f>
        <v>173034.6</v>
      </c>
      <c r="M245" s="258">
        <f t="shared" ref="M245:N245" si="149">M246</f>
        <v>-21120.14</v>
      </c>
      <c r="N245" s="258">
        <f t="shared" si="149"/>
        <v>151914.46000000002</v>
      </c>
    </row>
    <row r="246" spans="1:14" ht="31.5" customHeight="1" x14ac:dyDescent="0.2">
      <c r="A246" s="259" t="s">
        <v>76</v>
      </c>
      <c r="B246" s="252" t="s">
        <v>130</v>
      </c>
      <c r="C246" s="252" t="s">
        <v>202</v>
      </c>
      <c r="D246" s="252" t="s">
        <v>192</v>
      </c>
      <c r="E246" s="251" t="s">
        <v>778</v>
      </c>
      <c r="F246" s="252" t="s">
        <v>77</v>
      </c>
      <c r="G246" s="256"/>
      <c r="H246" s="257">
        <v>174462.7</v>
      </c>
      <c r="I246" s="258">
        <v>5065</v>
      </c>
      <c r="J246" s="258">
        <f t="shared" si="145"/>
        <v>179527.7</v>
      </c>
      <c r="K246" s="258">
        <v>-3826.2</v>
      </c>
      <c r="L246" s="258">
        <f>177297.6-4263</f>
        <v>173034.6</v>
      </c>
      <c r="M246" s="258">
        <f>-21120.14</f>
        <v>-21120.14</v>
      </c>
      <c r="N246" s="258">
        <f>L246+M246</f>
        <v>151914.46000000002</v>
      </c>
    </row>
    <row r="247" spans="1:14" ht="21.75" customHeight="1" x14ac:dyDescent="0.2">
      <c r="A247" s="259" t="s">
        <v>941</v>
      </c>
      <c r="B247" s="252" t="s">
        <v>130</v>
      </c>
      <c r="C247" s="252" t="s">
        <v>202</v>
      </c>
      <c r="D247" s="252" t="s">
        <v>192</v>
      </c>
      <c r="E247" s="251" t="s">
        <v>776</v>
      </c>
      <c r="F247" s="252"/>
      <c r="G247" s="256"/>
      <c r="H247" s="257">
        <f>H248</f>
        <v>1736</v>
      </c>
      <c r="I247" s="258">
        <f>I248</f>
        <v>0</v>
      </c>
      <c r="J247" s="258">
        <f t="shared" si="145"/>
        <v>1736</v>
      </c>
      <c r="K247" s="258">
        <f>K248</f>
        <v>0</v>
      </c>
      <c r="L247" s="258">
        <f>L248</f>
        <v>1667.6</v>
      </c>
      <c r="M247" s="258">
        <f t="shared" ref="M247:N247" si="150">M248</f>
        <v>-647.6</v>
      </c>
      <c r="N247" s="258">
        <f t="shared" si="150"/>
        <v>1019.9999999999999</v>
      </c>
    </row>
    <row r="248" spans="1:14" ht="22.5" customHeight="1" x14ac:dyDescent="0.2">
      <c r="A248" s="259" t="s">
        <v>78</v>
      </c>
      <c r="B248" s="252" t="s">
        <v>130</v>
      </c>
      <c r="C248" s="252" t="s">
        <v>202</v>
      </c>
      <c r="D248" s="252" t="s">
        <v>192</v>
      </c>
      <c r="E248" s="251" t="s">
        <v>776</v>
      </c>
      <c r="F248" s="252" t="s">
        <v>79</v>
      </c>
      <c r="G248" s="256"/>
      <c r="H248" s="257">
        <v>1736</v>
      </c>
      <c r="I248" s="258">
        <v>0</v>
      </c>
      <c r="J248" s="258">
        <f t="shared" si="145"/>
        <v>1736</v>
      </c>
      <c r="K248" s="258">
        <v>0</v>
      </c>
      <c r="L248" s="258">
        <v>1667.6</v>
      </c>
      <c r="M248" s="258">
        <v>-647.6</v>
      </c>
      <c r="N248" s="258">
        <f>L248+M248</f>
        <v>1019.9999999999999</v>
      </c>
    </row>
    <row r="249" spans="1:14" ht="22.5" hidden="1" customHeight="1" x14ac:dyDescent="0.2">
      <c r="A249" s="259" t="s">
        <v>932</v>
      </c>
      <c r="B249" s="252" t="s">
        <v>130</v>
      </c>
      <c r="C249" s="252" t="s">
        <v>202</v>
      </c>
      <c r="D249" s="252" t="s">
        <v>192</v>
      </c>
      <c r="E249" s="251" t="s">
        <v>916</v>
      </c>
      <c r="F249" s="252"/>
      <c r="G249" s="256"/>
      <c r="H249" s="257"/>
      <c r="I249" s="258"/>
      <c r="J249" s="258"/>
      <c r="K249" s="258">
        <f>K250</f>
        <v>2070</v>
      </c>
      <c r="L249" s="258">
        <f>L250</f>
        <v>0</v>
      </c>
      <c r="M249" s="258"/>
      <c r="N249" s="258">
        <f>N250</f>
        <v>0</v>
      </c>
    </row>
    <row r="250" spans="1:14" ht="22.5" hidden="1" customHeight="1" x14ac:dyDescent="0.2">
      <c r="A250" s="259" t="s">
        <v>78</v>
      </c>
      <c r="B250" s="252" t="s">
        <v>130</v>
      </c>
      <c r="C250" s="252" t="s">
        <v>202</v>
      </c>
      <c r="D250" s="252" t="s">
        <v>192</v>
      </c>
      <c r="E250" s="251" t="s">
        <v>916</v>
      </c>
      <c r="F250" s="252" t="s">
        <v>79</v>
      </c>
      <c r="G250" s="256"/>
      <c r="H250" s="257"/>
      <c r="I250" s="258"/>
      <c r="J250" s="258"/>
      <c r="K250" s="258">
        <v>2070</v>
      </c>
      <c r="L250" s="258">
        <v>0</v>
      </c>
      <c r="M250" s="258"/>
      <c r="N250" s="258">
        <v>0</v>
      </c>
    </row>
    <row r="251" spans="1:14" ht="38.25" customHeight="1" x14ac:dyDescent="0.2">
      <c r="A251" s="259" t="s">
        <v>777</v>
      </c>
      <c r="B251" s="252" t="s">
        <v>130</v>
      </c>
      <c r="C251" s="252" t="s">
        <v>202</v>
      </c>
      <c r="D251" s="252" t="s">
        <v>192</v>
      </c>
      <c r="E251" s="251" t="s">
        <v>775</v>
      </c>
      <c r="F251" s="252"/>
      <c r="G251" s="256"/>
      <c r="H251" s="257">
        <f>H252</f>
        <v>2000</v>
      </c>
      <c r="I251" s="258">
        <f>I252</f>
        <v>0</v>
      </c>
      <c r="J251" s="258">
        <f t="shared" si="145"/>
        <v>2000</v>
      </c>
      <c r="K251" s="258">
        <f>K252</f>
        <v>0</v>
      </c>
      <c r="L251" s="258">
        <f>L252</f>
        <v>2000</v>
      </c>
      <c r="M251" s="258">
        <f t="shared" ref="M251:N251" si="151">M252</f>
        <v>0</v>
      </c>
      <c r="N251" s="258">
        <f t="shared" si="151"/>
        <v>2000</v>
      </c>
    </row>
    <row r="252" spans="1:14" ht="18.75" customHeight="1" x14ac:dyDescent="0.2">
      <c r="A252" s="259" t="s">
        <v>78</v>
      </c>
      <c r="B252" s="252" t="s">
        <v>130</v>
      </c>
      <c r="C252" s="252" t="s">
        <v>202</v>
      </c>
      <c r="D252" s="252" t="s">
        <v>192</v>
      </c>
      <c r="E252" s="251" t="s">
        <v>775</v>
      </c>
      <c r="F252" s="252" t="s">
        <v>79</v>
      </c>
      <c r="G252" s="256"/>
      <c r="H252" s="257">
        <v>2000</v>
      </c>
      <c r="I252" s="258">
        <v>0</v>
      </c>
      <c r="J252" s="258">
        <f t="shared" si="145"/>
        <v>2000</v>
      </c>
      <c r="K252" s="258">
        <v>0</v>
      </c>
      <c r="L252" s="258">
        <v>2000</v>
      </c>
      <c r="M252" s="258">
        <v>0</v>
      </c>
      <c r="N252" s="258">
        <f>L252+M252</f>
        <v>2000</v>
      </c>
    </row>
    <row r="253" spans="1:14" ht="32.25" customHeight="1" x14ac:dyDescent="0.2">
      <c r="A253" s="259" t="s">
        <v>940</v>
      </c>
      <c r="B253" s="252" t="s">
        <v>130</v>
      </c>
      <c r="C253" s="252" t="s">
        <v>202</v>
      </c>
      <c r="D253" s="252" t="s">
        <v>192</v>
      </c>
      <c r="E253" s="251" t="s">
        <v>773</v>
      </c>
      <c r="F253" s="252"/>
      <c r="G253" s="256"/>
      <c r="H253" s="257">
        <f>H254</f>
        <v>1831</v>
      </c>
      <c r="I253" s="258">
        <f>I254</f>
        <v>0</v>
      </c>
      <c r="J253" s="258">
        <f t="shared" si="145"/>
        <v>1831</v>
      </c>
      <c r="K253" s="258">
        <f>K254</f>
        <v>0</v>
      </c>
      <c r="L253" s="258">
        <f>L254</f>
        <v>1115.2</v>
      </c>
      <c r="M253" s="258">
        <f t="shared" ref="M253:N253" si="152">M254</f>
        <v>1512.7</v>
      </c>
      <c r="N253" s="258">
        <f t="shared" si="152"/>
        <v>2627.9</v>
      </c>
    </row>
    <row r="254" spans="1:14" ht="16.5" customHeight="1" x14ac:dyDescent="0.2">
      <c r="A254" s="259" t="s">
        <v>78</v>
      </c>
      <c r="B254" s="252" t="s">
        <v>130</v>
      </c>
      <c r="C254" s="252" t="s">
        <v>202</v>
      </c>
      <c r="D254" s="252" t="s">
        <v>192</v>
      </c>
      <c r="E254" s="251" t="s">
        <v>773</v>
      </c>
      <c r="F254" s="252" t="s">
        <v>79</v>
      </c>
      <c r="G254" s="256"/>
      <c r="H254" s="257">
        <v>1831</v>
      </c>
      <c r="I254" s="258">
        <v>0</v>
      </c>
      <c r="J254" s="258">
        <f t="shared" si="145"/>
        <v>1831</v>
      </c>
      <c r="K254" s="258">
        <v>0</v>
      </c>
      <c r="L254" s="258">
        <v>1115.2</v>
      </c>
      <c r="M254" s="258">
        <v>1512.7</v>
      </c>
      <c r="N254" s="258">
        <f>L254+M254</f>
        <v>2627.9</v>
      </c>
    </row>
    <row r="255" spans="1:14" ht="30.75" customHeight="1" x14ac:dyDescent="0.2">
      <c r="A255" s="259" t="s">
        <v>772</v>
      </c>
      <c r="B255" s="252" t="s">
        <v>130</v>
      </c>
      <c r="C255" s="252" t="s">
        <v>202</v>
      </c>
      <c r="D255" s="252" t="s">
        <v>192</v>
      </c>
      <c r="E255" s="251" t="s">
        <v>774</v>
      </c>
      <c r="F255" s="252"/>
      <c r="G255" s="256"/>
      <c r="H255" s="257">
        <f>H256</f>
        <v>280.10000000000002</v>
      </c>
      <c r="I255" s="258">
        <f>I256</f>
        <v>0</v>
      </c>
      <c r="J255" s="258">
        <f t="shared" si="145"/>
        <v>280.10000000000002</v>
      </c>
      <c r="K255" s="258">
        <f>K256</f>
        <v>0</v>
      </c>
      <c r="L255" s="258">
        <f>L256</f>
        <v>12</v>
      </c>
      <c r="M255" s="258">
        <f t="shared" ref="M255:N255" si="153">M256</f>
        <v>15</v>
      </c>
      <c r="N255" s="258">
        <f t="shared" si="153"/>
        <v>27</v>
      </c>
    </row>
    <row r="256" spans="1:14" ht="18.75" customHeight="1" x14ac:dyDescent="0.2">
      <c r="A256" s="259" t="s">
        <v>78</v>
      </c>
      <c r="B256" s="252" t="s">
        <v>130</v>
      </c>
      <c r="C256" s="252" t="s">
        <v>202</v>
      </c>
      <c r="D256" s="252" t="s">
        <v>192</v>
      </c>
      <c r="E256" s="251" t="s">
        <v>774</v>
      </c>
      <c r="F256" s="252" t="s">
        <v>79</v>
      </c>
      <c r="G256" s="256"/>
      <c r="H256" s="257">
        <v>280.10000000000002</v>
      </c>
      <c r="I256" s="258">
        <v>0</v>
      </c>
      <c r="J256" s="258">
        <f t="shared" si="145"/>
        <v>280.10000000000002</v>
      </c>
      <c r="K256" s="258">
        <v>0</v>
      </c>
      <c r="L256" s="258">
        <v>12</v>
      </c>
      <c r="M256" s="258">
        <v>15</v>
      </c>
      <c r="N256" s="258">
        <f>L256+M256</f>
        <v>27</v>
      </c>
    </row>
    <row r="257" spans="1:14" ht="31.5" customHeight="1" x14ac:dyDescent="0.2">
      <c r="A257" s="259" t="s">
        <v>862</v>
      </c>
      <c r="B257" s="252" t="s">
        <v>130</v>
      </c>
      <c r="C257" s="252" t="s">
        <v>202</v>
      </c>
      <c r="D257" s="252" t="s">
        <v>192</v>
      </c>
      <c r="E257" s="251" t="s">
        <v>1031</v>
      </c>
      <c r="F257" s="252" t="s">
        <v>79</v>
      </c>
      <c r="G257" s="256"/>
      <c r="H257" s="257">
        <v>500</v>
      </c>
      <c r="I257" s="258">
        <v>1000</v>
      </c>
      <c r="J257" s="258">
        <f t="shared" si="145"/>
        <v>1500</v>
      </c>
      <c r="K257" s="258">
        <v>168</v>
      </c>
      <c r="L257" s="258">
        <v>0</v>
      </c>
      <c r="M257" s="258">
        <v>288.5</v>
      </c>
      <c r="N257" s="258">
        <f>L257+M257</f>
        <v>288.5</v>
      </c>
    </row>
    <row r="258" spans="1:14" s="19" customFormat="1" ht="21.75" customHeight="1" x14ac:dyDescent="0.2">
      <c r="A258" s="398" t="s">
        <v>850</v>
      </c>
      <c r="B258" s="250" t="s">
        <v>130</v>
      </c>
      <c r="C258" s="250" t="s">
        <v>202</v>
      </c>
      <c r="D258" s="250" t="s">
        <v>194</v>
      </c>
      <c r="E258" s="253"/>
      <c r="F258" s="250"/>
      <c r="G258" s="264"/>
      <c r="H258" s="277"/>
      <c r="I258" s="277"/>
      <c r="J258" s="277"/>
      <c r="K258" s="277"/>
      <c r="L258" s="277">
        <f>L259+L275+L274</f>
        <v>21560</v>
      </c>
      <c r="M258" s="277">
        <f t="shared" ref="M258:N258" si="154">M259+M275+M274</f>
        <v>1657</v>
      </c>
      <c r="N258" s="277">
        <f t="shared" si="154"/>
        <v>23217</v>
      </c>
    </row>
    <row r="259" spans="1:14" ht="29.25" customHeight="1" x14ac:dyDescent="0.2">
      <c r="A259" s="259" t="s">
        <v>901</v>
      </c>
      <c r="B259" s="252" t="s">
        <v>130</v>
      </c>
      <c r="C259" s="252" t="s">
        <v>202</v>
      </c>
      <c r="D259" s="252" t="s">
        <v>194</v>
      </c>
      <c r="E259" s="251" t="s">
        <v>918</v>
      </c>
      <c r="F259" s="252"/>
      <c r="G259" s="256"/>
      <c r="H259" s="258">
        <f t="shared" ref="H259:K259" si="155">H260+H263</f>
        <v>0</v>
      </c>
      <c r="I259" s="258">
        <f t="shared" si="155"/>
        <v>20483</v>
      </c>
      <c r="J259" s="258">
        <f t="shared" si="155"/>
        <v>20483</v>
      </c>
      <c r="K259" s="258">
        <f t="shared" si="155"/>
        <v>1418.7700000000002</v>
      </c>
      <c r="L259" s="258">
        <f>L260+L263</f>
        <v>21560</v>
      </c>
      <c r="M259" s="258">
        <f t="shared" ref="M259:N259" si="156">M260+M263</f>
        <v>1657</v>
      </c>
      <c r="N259" s="258">
        <f t="shared" si="156"/>
        <v>23217</v>
      </c>
    </row>
    <row r="260" spans="1:14" ht="24" customHeight="1" x14ac:dyDescent="0.2">
      <c r="A260" s="259" t="s">
        <v>536</v>
      </c>
      <c r="B260" s="252" t="s">
        <v>130</v>
      </c>
      <c r="C260" s="252" t="s">
        <v>202</v>
      </c>
      <c r="D260" s="252" t="s">
        <v>194</v>
      </c>
      <c r="E260" s="251" t="s">
        <v>782</v>
      </c>
      <c r="F260" s="252"/>
      <c r="G260" s="256"/>
      <c r="H260" s="258">
        <f t="shared" ref="H260:L260" si="157">H261+H262</f>
        <v>0</v>
      </c>
      <c r="I260" s="258">
        <f t="shared" si="157"/>
        <v>5750</v>
      </c>
      <c r="J260" s="258">
        <f t="shared" si="157"/>
        <v>5750</v>
      </c>
      <c r="K260" s="258">
        <f t="shared" si="157"/>
        <v>80.39</v>
      </c>
      <c r="L260" s="258">
        <f t="shared" si="157"/>
        <v>5750</v>
      </c>
      <c r="M260" s="258">
        <f t="shared" ref="M260:N260" si="158">M261+M262</f>
        <v>1040.5999999999999</v>
      </c>
      <c r="N260" s="258">
        <f t="shared" si="158"/>
        <v>6790.6</v>
      </c>
    </row>
    <row r="261" spans="1:14" ht="27.75" customHeight="1" x14ac:dyDescent="0.2">
      <c r="A261" s="259" t="s">
        <v>76</v>
      </c>
      <c r="B261" s="252" t="s">
        <v>130</v>
      </c>
      <c r="C261" s="252" t="s">
        <v>202</v>
      </c>
      <c r="D261" s="252" t="s">
        <v>194</v>
      </c>
      <c r="E261" s="251" t="s">
        <v>782</v>
      </c>
      <c r="F261" s="252" t="s">
        <v>77</v>
      </c>
      <c r="G261" s="256"/>
      <c r="H261" s="258">
        <v>0</v>
      </c>
      <c r="I261" s="258">
        <v>5550</v>
      </c>
      <c r="J261" s="258">
        <f>H261+I261</f>
        <v>5550</v>
      </c>
      <c r="K261" s="258">
        <v>80.39</v>
      </c>
      <c r="L261" s="258">
        <v>5550</v>
      </c>
      <c r="M261" s="258">
        <f>108+1032.6</f>
        <v>1140.5999999999999</v>
      </c>
      <c r="N261" s="258">
        <f>L261+M261</f>
        <v>6690.6</v>
      </c>
    </row>
    <row r="262" spans="1:14" ht="18.75" customHeight="1" x14ac:dyDescent="0.2">
      <c r="A262" s="259" t="s">
        <v>78</v>
      </c>
      <c r="B262" s="252" t="s">
        <v>130</v>
      </c>
      <c r="C262" s="252" t="s">
        <v>202</v>
      </c>
      <c r="D262" s="252" t="s">
        <v>194</v>
      </c>
      <c r="E262" s="251" t="s">
        <v>782</v>
      </c>
      <c r="F262" s="252" t="s">
        <v>79</v>
      </c>
      <c r="G262" s="256"/>
      <c r="H262" s="258">
        <v>0</v>
      </c>
      <c r="I262" s="258">
        <v>200</v>
      </c>
      <c r="J262" s="258">
        <f>H262+I262</f>
        <v>200</v>
      </c>
      <c r="K262" s="258">
        <v>0</v>
      </c>
      <c r="L262" s="258">
        <v>200</v>
      </c>
      <c r="M262" s="258">
        <v>-100</v>
      </c>
      <c r="N262" s="258">
        <f>L262+M262</f>
        <v>100</v>
      </c>
    </row>
    <row r="263" spans="1:14" ht="22.5" customHeight="1" x14ac:dyDescent="0.2">
      <c r="A263" s="259" t="s">
        <v>537</v>
      </c>
      <c r="B263" s="252" t="s">
        <v>130</v>
      </c>
      <c r="C263" s="252" t="s">
        <v>202</v>
      </c>
      <c r="D263" s="252" t="s">
        <v>194</v>
      </c>
      <c r="E263" s="251" t="s">
        <v>781</v>
      </c>
      <c r="F263" s="252"/>
      <c r="G263" s="256"/>
      <c r="H263" s="258">
        <f t="shared" ref="H263:N263" si="159">H264+H265</f>
        <v>0</v>
      </c>
      <c r="I263" s="258">
        <f t="shared" si="159"/>
        <v>14733</v>
      </c>
      <c r="J263" s="258">
        <f t="shared" si="159"/>
        <v>14733</v>
      </c>
      <c r="K263" s="258">
        <f t="shared" si="159"/>
        <v>1338.38</v>
      </c>
      <c r="L263" s="258">
        <f t="shared" si="159"/>
        <v>15810</v>
      </c>
      <c r="M263" s="258">
        <f t="shared" si="159"/>
        <v>616.40000000000009</v>
      </c>
      <c r="N263" s="258">
        <f t="shared" si="159"/>
        <v>16426.400000000001</v>
      </c>
    </row>
    <row r="264" spans="1:14" ht="33.75" customHeight="1" x14ac:dyDescent="0.2">
      <c r="A264" s="259" t="s">
        <v>76</v>
      </c>
      <c r="B264" s="252" t="s">
        <v>130</v>
      </c>
      <c r="C264" s="252" t="s">
        <v>202</v>
      </c>
      <c r="D264" s="252" t="s">
        <v>194</v>
      </c>
      <c r="E264" s="251" t="s">
        <v>781</v>
      </c>
      <c r="F264" s="252" t="s">
        <v>77</v>
      </c>
      <c r="G264" s="256"/>
      <c r="H264" s="258">
        <v>0</v>
      </c>
      <c r="I264" s="258">
        <v>14013</v>
      </c>
      <c r="J264" s="258">
        <f>H264+I264</f>
        <v>14013</v>
      </c>
      <c r="K264" s="258">
        <v>1338.38</v>
      </c>
      <c r="L264" s="258">
        <f>12090+3000</f>
        <v>15090</v>
      </c>
      <c r="M264" s="258">
        <f>-1878+2864.4</f>
        <v>986.40000000000009</v>
      </c>
      <c r="N264" s="258">
        <f>L264+M264</f>
        <v>16076.4</v>
      </c>
    </row>
    <row r="265" spans="1:14" ht="18.75" customHeight="1" x14ac:dyDescent="0.2">
      <c r="A265" s="259" t="s">
        <v>78</v>
      </c>
      <c r="B265" s="252" t="s">
        <v>130</v>
      </c>
      <c r="C265" s="252" t="s">
        <v>202</v>
      </c>
      <c r="D265" s="252" t="s">
        <v>194</v>
      </c>
      <c r="E265" s="251" t="s">
        <v>781</v>
      </c>
      <c r="F265" s="252" t="s">
        <v>79</v>
      </c>
      <c r="G265" s="256"/>
      <c r="H265" s="258">
        <v>0</v>
      </c>
      <c r="I265" s="258">
        <v>720</v>
      </c>
      <c r="J265" s="258">
        <f>H265+I265</f>
        <v>720</v>
      </c>
      <c r="K265" s="258">
        <v>0</v>
      </c>
      <c r="L265" s="258">
        <v>720</v>
      </c>
      <c r="M265" s="258">
        <v>-370</v>
      </c>
      <c r="N265" s="258">
        <f>L265+M265</f>
        <v>350</v>
      </c>
    </row>
    <row r="266" spans="1:14" s="19" customFormat="1" ht="18.75" hidden="1" customHeight="1" x14ac:dyDescent="0.2">
      <c r="A266" s="398" t="s">
        <v>850</v>
      </c>
      <c r="B266" s="250" t="s">
        <v>130</v>
      </c>
      <c r="C266" s="250" t="s">
        <v>202</v>
      </c>
      <c r="D266" s="250" t="s">
        <v>194</v>
      </c>
      <c r="E266" s="253"/>
      <c r="F266" s="250"/>
      <c r="G266" s="277">
        <f t="shared" ref="G266:L266" si="160">G267+G270+G273</f>
        <v>0</v>
      </c>
      <c r="H266" s="277">
        <f t="shared" si="160"/>
        <v>21483</v>
      </c>
      <c r="I266" s="277">
        <f t="shared" si="160"/>
        <v>-21483</v>
      </c>
      <c r="J266" s="277">
        <f t="shared" si="160"/>
        <v>0</v>
      </c>
      <c r="K266" s="277">
        <f t="shared" si="160"/>
        <v>0</v>
      </c>
      <c r="L266" s="277">
        <f t="shared" si="160"/>
        <v>-21483</v>
      </c>
      <c r="M266" s="277"/>
      <c r="N266" s="258">
        <f t="shared" ref="N266:N273" si="161">L266+M266</f>
        <v>-21483</v>
      </c>
    </row>
    <row r="267" spans="1:14" s="19" customFormat="1" ht="18.75" hidden="1" customHeight="1" x14ac:dyDescent="0.2">
      <c r="A267" s="259" t="s">
        <v>536</v>
      </c>
      <c r="B267" s="252" t="s">
        <v>130</v>
      </c>
      <c r="C267" s="252" t="s">
        <v>202</v>
      </c>
      <c r="D267" s="252" t="s">
        <v>194</v>
      </c>
      <c r="E267" s="251" t="s">
        <v>782</v>
      </c>
      <c r="F267" s="252"/>
      <c r="G267" s="258">
        <f>G268+G269</f>
        <v>0</v>
      </c>
      <c r="H267" s="258">
        <f>H268+H269</f>
        <v>5750</v>
      </c>
      <c r="I267" s="258">
        <f>I268+I269</f>
        <v>-5750</v>
      </c>
      <c r="J267" s="258">
        <f>H267+I267</f>
        <v>0</v>
      </c>
      <c r="K267" s="258">
        <f>K268+K269</f>
        <v>0</v>
      </c>
      <c r="L267" s="258">
        <f>I267+J267</f>
        <v>-5750</v>
      </c>
      <c r="M267" s="258"/>
      <c r="N267" s="258">
        <f t="shared" si="161"/>
        <v>-5750</v>
      </c>
    </row>
    <row r="268" spans="1:14" s="19" customFormat="1" ht="30.75" hidden="1" customHeight="1" x14ac:dyDescent="0.2">
      <c r="A268" s="259" t="s">
        <v>76</v>
      </c>
      <c r="B268" s="252" t="s">
        <v>130</v>
      </c>
      <c r="C268" s="252" t="s">
        <v>202</v>
      </c>
      <c r="D268" s="252" t="s">
        <v>194</v>
      </c>
      <c r="E268" s="251" t="s">
        <v>782</v>
      </c>
      <c r="F268" s="252" t="s">
        <v>77</v>
      </c>
      <c r="G268" s="256"/>
      <c r="H268" s="257">
        <v>5550</v>
      </c>
      <c r="I268" s="258">
        <v>-5550</v>
      </c>
      <c r="J268" s="258">
        <f t="shared" ref="J268:J273" si="162">H268+I268</f>
        <v>0</v>
      </c>
      <c r="K268" s="258">
        <v>0</v>
      </c>
      <c r="L268" s="258">
        <f t="shared" ref="L268:L273" si="163">I268+J268</f>
        <v>-5550</v>
      </c>
      <c r="M268" s="258"/>
      <c r="N268" s="258">
        <f t="shared" si="161"/>
        <v>-5550</v>
      </c>
    </row>
    <row r="269" spans="1:14" s="19" customFormat="1" ht="18.75" hidden="1" customHeight="1" x14ac:dyDescent="0.2">
      <c r="A269" s="259" t="s">
        <v>78</v>
      </c>
      <c r="B269" s="252" t="s">
        <v>130</v>
      </c>
      <c r="C269" s="252" t="s">
        <v>202</v>
      </c>
      <c r="D269" s="252" t="s">
        <v>194</v>
      </c>
      <c r="E269" s="251" t="s">
        <v>782</v>
      </c>
      <c r="F269" s="252" t="s">
        <v>79</v>
      </c>
      <c r="G269" s="256"/>
      <c r="H269" s="257">
        <v>200</v>
      </c>
      <c r="I269" s="258">
        <v>-200</v>
      </c>
      <c r="J269" s="258">
        <f t="shared" si="162"/>
        <v>0</v>
      </c>
      <c r="K269" s="258">
        <v>0</v>
      </c>
      <c r="L269" s="258">
        <f t="shared" si="163"/>
        <v>-200</v>
      </c>
      <c r="M269" s="258"/>
      <c r="N269" s="258">
        <f t="shared" si="161"/>
        <v>-200</v>
      </c>
    </row>
    <row r="270" spans="1:14" ht="18.75" hidden="1" customHeight="1" x14ac:dyDescent="0.2">
      <c r="A270" s="259" t="s">
        <v>537</v>
      </c>
      <c r="B270" s="252" t="s">
        <v>130</v>
      </c>
      <c r="C270" s="252" t="s">
        <v>202</v>
      </c>
      <c r="D270" s="252" t="s">
        <v>194</v>
      </c>
      <c r="E270" s="251" t="s">
        <v>781</v>
      </c>
      <c r="F270" s="252"/>
      <c r="G270" s="360">
        <f>G271+G272</f>
        <v>0</v>
      </c>
      <c r="H270" s="257">
        <f>H271+H272</f>
        <v>14733</v>
      </c>
      <c r="I270" s="258">
        <f>I271+I272</f>
        <v>-14733</v>
      </c>
      <c r="J270" s="258">
        <f t="shared" si="162"/>
        <v>0</v>
      </c>
      <c r="K270" s="258">
        <f>K271+K272</f>
        <v>0</v>
      </c>
      <c r="L270" s="258">
        <f t="shared" si="163"/>
        <v>-14733</v>
      </c>
      <c r="M270" s="258"/>
      <c r="N270" s="258">
        <f t="shared" si="161"/>
        <v>-14733</v>
      </c>
    </row>
    <row r="271" spans="1:14" ht="33.75" hidden="1" customHeight="1" x14ac:dyDescent="0.2">
      <c r="A271" s="259" t="s">
        <v>76</v>
      </c>
      <c r="B271" s="252" t="s">
        <v>130</v>
      </c>
      <c r="C271" s="252" t="s">
        <v>202</v>
      </c>
      <c r="D271" s="252" t="s">
        <v>194</v>
      </c>
      <c r="E271" s="251" t="s">
        <v>781</v>
      </c>
      <c r="F271" s="252" t="s">
        <v>77</v>
      </c>
      <c r="G271" s="256"/>
      <c r="H271" s="257">
        <v>14013</v>
      </c>
      <c r="I271" s="258">
        <v>-14013</v>
      </c>
      <c r="J271" s="258">
        <f t="shared" si="162"/>
        <v>0</v>
      </c>
      <c r="K271" s="258">
        <v>0</v>
      </c>
      <c r="L271" s="258">
        <f t="shared" si="163"/>
        <v>-14013</v>
      </c>
      <c r="M271" s="258"/>
      <c r="N271" s="258">
        <f t="shared" si="161"/>
        <v>-14013</v>
      </c>
    </row>
    <row r="272" spans="1:14" ht="18.75" hidden="1" customHeight="1" x14ac:dyDescent="0.2">
      <c r="A272" s="259" t="s">
        <v>78</v>
      </c>
      <c r="B272" s="252" t="s">
        <v>130</v>
      </c>
      <c r="C272" s="252" t="s">
        <v>202</v>
      </c>
      <c r="D272" s="252" t="s">
        <v>194</v>
      </c>
      <c r="E272" s="251" t="s">
        <v>781</v>
      </c>
      <c r="F272" s="252" t="s">
        <v>79</v>
      </c>
      <c r="G272" s="256"/>
      <c r="H272" s="257">
        <v>720</v>
      </c>
      <c r="I272" s="258">
        <v>-720</v>
      </c>
      <c r="J272" s="258">
        <f t="shared" si="162"/>
        <v>0</v>
      </c>
      <c r="K272" s="258">
        <v>0</v>
      </c>
      <c r="L272" s="258">
        <f t="shared" si="163"/>
        <v>-720</v>
      </c>
      <c r="M272" s="258"/>
      <c r="N272" s="258">
        <f t="shared" si="161"/>
        <v>-720</v>
      </c>
    </row>
    <row r="273" spans="1:14" ht="33.75" hidden="1" customHeight="1" x14ac:dyDescent="0.2">
      <c r="A273" s="259" t="s">
        <v>862</v>
      </c>
      <c r="B273" s="252" t="s">
        <v>130</v>
      </c>
      <c r="C273" s="252" t="s">
        <v>202</v>
      </c>
      <c r="D273" s="252" t="s">
        <v>194</v>
      </c>
      <c r="E273" s="251" t="s">
        <v>863</v>
      </c>
      <c r="F273" s="252" t="s">
        <v>79</v>
      </c>
      <c r="G273" s="256"/>
      <c r="H273" s="257">
        <v>1000</v>
      </c>
      <c r="I273" s="258">
        <v>-1000</v>
      </c>
      <c r="J273" s="258">
        <f t="shared" si="162"/>
        <v>0</v>
      </c>
      <c r="K273" s="258">
        <v>0</v>
      </c>
      <c r="L273" s="258">
        <f t="shared" si="163"/>
        <v>-1000</v>
      </c>
      <c r="M273" s="258"/>
      <c r="N273" s="258">
        <f t="shared" si="161"/>
        <v>-1000</v>
      </c>
    </row>
    <row r="274" spans="1:14" ht="26.25" hidden="1" customHeight="1" x14ac:dyDescent="0.2">
      <c r="A274" s="259" t="s">
        <v>78</v>
      </c>
      <c r="B274" s="252" t="s">
        <v>130</v>
      </c>
      <c r="C274" s="252" t="s">
        <v>202</v>
      </c>
      <c r="D274" s="252" t="s">
        <v>194</v>
      </c>
      <c r="E274" s="251" t="s">
        <v>1021</v>
      </c>
      <c r="F274" s="252" t="s">
        <v>79</v>
      </c>
      <c r="G274" s="256"/>
      <c r="H274" s="258"/>
      <c r="I274" s="258"/>
      <c r="J274" s="258"/>
      <c r="K274" s="258"/>
      <c r="L274" s="258">
        <v>0</v>
      </c>
      <c r="M274" s="258">
        <v>0</v>
      </c>
      <c r="N274" s="258">
        <v>0</v>
      </c>
    </row>
    <row r="275" spans="1:14" ht="33.75" hidden="1" customHeight="1" x14ac:dyDescent="0.2">
      <c r="A275" s="259" t="s">
        <v>862</v>
      </c>
      <c r="B275" s="252" t="s">
        <v>130</v>
      </c>
      <c r="C275" s="252" t="s">
        <v>202</v>
      </c>
      <c r="D275" s="252" t="s">
        <v>194</v>
      </c>
      <c r="E275" s="251" t="s">
        <v>863</v>
      </c>
      <c r="F275" s="252" t="s">
        <v>79</v>
      </c>
      <c r="G275" s="256"/>
      <c r="H275" s="258">
        <v>500</v>
      </c>
      <c r="I275" s="258">
        <v>1000</v>
      </c>
      <c r="J275" s="258">
        <v>1500</v>
      </c>
      <c r="K275" s="258">
        <v>168</v>
      </c>
      <c r="L275" s="258">
        <v>0</v>
      </c>
      <c r="M275" s="258"/>
      <c r="N275" s="258">
        <v>0</v>
      </c>
    </row>
    <row r="276" spans="1:14" ht="17.25" customHeight="1" x14ac:dyDescent="0.2">
      <c r="A276" s="398" t="s">
        <v>230</v>
      </c>
      <c r="B276" s="250" t="s">
        <v>130</v>
      </c>
      <c r="C276" s="250" t="s">
        <v>202</v>
      </c>
      <c r="D276" s="250" t="s">
        <v>202</v>
      </c>
      <c r="E276" s="253"/>
      <c r="F276" s="250"/>
      <c r="G276" s="267" t="e">
        <f>#REF!+#REF!+#REF!+#REF!+G277+G281+G283+#REF!</f>
        <v>#REF!</v>
      </c>
      <c r="H276" s="267">
        <f t="shared" ref="H276:L276" si="164">H277+H281+H283</f>
        <v>2217</v>
      </c>
      <c r="I276" s="267">
        <f t="shared" si="164"/>
        <v>0</v>
      </c>
      <c r="J276" s="267">
        <f t="shared" si="164"/>
        <v>2217</v>
      </c>
      <c r="K276" s="267">
        <f t="shared" si="164"/>
        <v>-69.400000000000006</v>
      </c>
      <c r="L276" s="267">
        <f t="shared" si="164"/>
        <v>1956.6</v>
      </c>
      <c r="M276" s="267">
        <f t="shared" ref="M276:N276" si="165">M277+M281+M283</f>
        <v>-417.7</v>
      </c>
      <c r="N276" s="267">
        <f t="shared" si="165"/>
        <v>1538.8999999999999</v>
      </c>
    </row>
    <row r="277" spans="1:14" ht="15" x14ac:dyDescent="0.2">
      <c r="A277" s="259" t="s">
        <v>754</v>
      </c>
      <c r="B277" s="252" t="s">
        <v>130</v>
      </c>
      <c r="C277" s="252" t="s">
        <v>202</v>
      </c>
      <c r="D277" s="252" t="s">
        <v>202</v>
      </c>
      <c r="E277" s="251" t="s">
        <v>753</v>
      </c>
      <c r="F277" s="252"/>
      <c r="G277" s="256"/>
      <c r="H277" s="257">
        <f>H280</f>
        <v>500</v>
      </c>
      <c r="I277" s="257">
        <f>I280</f>
        <v>0</v>
      </c>
      <c r="J277" s="257">
        <f>H277+I277</f>
        <v>500</v>
      </c>
      <c r="K277" s="257">
        <f>K280+K278+K279</f>
        <v>-69.400000000000006</v>
      </c>
      <c r="L277" s="257">
        <f>L280+L278+L279</f>
        <v>384</v>
      </c>
      <c r="M277" s="257">
        <f t="shared" ref="M277:N277" si="166">M280+M278+M279</f>
        <v>-300</v>
      </c>
      <c r="N277" s="257">
        <f t="shared" si="166"/>
        <v>84</v>
      </c>
    </row>
    <row r="278" spans="1:14" ht="15" hidden="1" x14ac:dyDescent="0.2">
      <c r="A278" s="259" t="s">
        <v>97</v>
      </c>
      <c r="B278" s="252" t="s">
        <v>130</v>
      </c>
      <c r="C278" s="252" t="s">
        <v>202</v>
      </c>
      <c r="D278" s="252" t="s">
        <v>202</v>
      </c>
      <c r="E278" s="251" t="s">
        <v>753</v>
      </c>
      <c r="F278" s="252" t="s">
        <v>919</v>
      </c>
      <c r="G278" s="256"/>
      <c r="H278" s="257"/>
      <c r="I278" s="257"/>
      <c r="J278" s="257">
        <v>0</v>
      </c>
      <c r="K278" s="257">
        <v>70</v>
      </c>
      <c r="L278" s="257">
        <v>0</v>
      </c>
      <c r="M278" s="257"/>
      <c r="N278" s="257">
        <v>0</v>
      </c>
    </row>
    <row r="279" spans="1:14" ht="15" hidden="1" x14ac:dyDescent="0.2">
      <c r="A279" s="259" t="s">
        <v>121</v>
      </c>
      <c r="B279" s="252" t="s">
        <v>130</v>
      </c>
      <c r="C279" s="252" t="s">
        <v>202</v>
      </c>
      <c r="D279" s="252" t="s">
        <v>202</v>
      </c>
      <c r="E279" s="251" t="s">
        <v>753</v>
      </c>
      <c r="F279" s="252" t="s">
        <v>94</v>
      </c>
      <c r="G279" s="256"/>
      <c r="H279" s="257"/>
      <c r="I279" s="257"/>
      <c r="J279" s="257">
        <v>0</v>
      </c>
      <c r="K279" s="257">
        <v>110.6</v>
      </c>
      <c r="L279" s="257">
        <v>0</v>
      </c>
      <c r="M279" s="257"/>
      <c r="N279" s="257">
        <v>0</v>
      </c>
    </row>
    <row r="280" spans="1:14" ht="15" x14ac:dyDescent="0.2">
      <c r="A280" s="259" t="s">
        <v>78</v>
      </c>
      <c r="B280" s="252" t="s">
        <v>130</v>
      </c>
      <c r="C280" s="252" t="s">
        <v>202</v>
      </c>
      <c r="D280" s="252" t="s">
        <v>202</v>
      </c>
      <c r="E280" s="251" t="s">
        <v>753</v>
      </c>
      <c r="F280" s="252" t="s">
        <v>79</v>
      </c>
      <c r="G280" s="256"/>
      <c r="H280" s="257">
        <v>500</v>
      </c>
      <c r="I280" s="257">
        <v>0</v>
      </c>
      <c r="J280" s="257">
        <f t="shared" ref="J280:J285" si="167">H280+I280</f>
        <v>500</v>
      </c>
      <c r="K280" s="257">
        <v>-250</v>
      </c>
      <c r="L280" s="257">
        <v>384</v>
      </c>
      <c r="M280" s="257">
        <v>-300</v>
      </c>
      <c r="N280" s="257">
        <f>L280+M280</f>
        <v>84</v>
      </c>
    </row>
    <row r="281" spans="1:14" ht="15" x14ac:dyDescent="0.2">
      <c r="A281" s="259" t="s">
        <v>883</v>
      </c>
      <c r="B281" s="252" t="s">
        <v>130</v>
      </c>
      <c r="C281" s="252" t="s">
        <v>202</v>
      </c>
      <c r="D281" s="252" t="s">
        <v>202</v>
      </c>
      <c r="E281" s="251" t="s">
        <v>752</v>
      </c>
      <c r="F281" s="252"/>
      <c r="G281" s="257" t="e">
        <f>G282+#REF!</f>
        <v>#REF!</v>
      </c>
      <c r="H281" s="257">
        <f>H282</f>
        <v>220</v>
      </c>
      <c r="I281" s="257">
        <f>I282</f>
        <v>0</v>
      </c>
      <c r="J281" s="257">
        <f t="shared" si="167"/>
        <v>220</v>
      </c>
      <c r="K281" s="257">
        <f>K282</f>
        <v>0</v>
      </c>
      <c r="L281" s="257">
        <f>L282</f>
        <v>100</v>
      </c>
      <c r="M281" s="257">
        <f t="shared" ref="M281:N281" si="168">M282</f>
        <v>-50</v>
      </c>
      <c r="N281" s="257">
        <f t="shared" si="168"/>
        <v>50</v>
      </c>
    </row>
    <row r="282" spans="1:14" ht="15" x14ac:dyDescent="0.2">
      <c r="A282" s="259" t="s">
        <v>121</v>
      </c>
      <c r="B282" s="252" t="s">
        <v>130</v>
      </c>
      <c r="C282" s="252" t="s">
        <v>202</v>
      </c>
      <c r="D282" s="252" t="s">
        <v>202</v>
      </c>
      <c r="E282" s="251" t="s">
        <v>752</v>
      </c>
      <c r="F282" s="252" t="s">
        <v>94</v>
      </c>
      <c r="G282" s="256"/>
      <c r="H282" s="256">
        <v>220</v>
      </c>
      <c r="I282" s="257">
        <v>0</v>
      </c>
      <c r="J282" s="257">
        <f t="shared" si="167"/>
        <v>220</v>
      </c>
      <c r="K282" s="257">
        <v>0</v>
      </c>
      <c r="L282" s="257">
        <v>100</v>
      </c>
      <c r="M282" s="257">
        <v>-50</v>
      </c>
      <c r="N282" s="257">
        <f>L282+M282</f>
        <v>50</v>
      </c>
    </row>
    <row r="283" spans="1:14" ht="30" x14ac:dyDescent="0.2">
      <c r="A283" s="259" t="s">
        <v>750</v>
      </c>
      <c r="B283" s="252" t="s">
        <v>130</v>
      </c>
      <c r="C283" s="252" t="s">
        <v>202</v>
      </c>
      <c r="D283" s="252" t="s">
        <v>202</v>
      </c>
      <c r="E283" s="251" t="s">
        <v>947</v>
      </c>
      <c r="F283" s="252"/>
      <c r="G283" s="257">
        <f>G285</f>
        <v>0</v>
      </c>
      <c r="H283" s="257">
        <f>H285</f>
        <v>1497</v>
      </c>
      <c r="I283" s="257">
        <f>I285</f>
        <v>0</v>
      </c>
      <c r="J283" s="257">
        <f t="shared" si="167"/>
        <v>1497</v>
      </c>
      <c r="K283" s="257">
        <f>K284+K285</f>
        <v>0</v>
      </c>
      <c r="L283" s="257">
        <f>L284+L285</f>
        <v>1472.6</v>
      </c>
      <c r="M283" s="257">
        <f t="shared" ref="M283:N283" si="169">M284+M285</f>
        <v>-67.7</v>
      </c>
      <c r="N283" s="257">
        <f t="shared" si="169"/>
        <v>1404.8999999999999</v>
      </c>
    </row>
    <row r="284" spans="1:14" ht="15" hidden="1" x14ac:dyDescent="0.2">
      <c r="A284" s="259" t="s">
        <v>138</v>
      </c>
      <c r="B284" s="252" t="s">
        <v>130</v>
      </c>
      <c r="C284" s="252" t="s">
        <v>392</v>
      </c>
      <c r="D284" s="252" t="s">
        <v>392</v>
      </c>
      <c r="E284" s="251" t="s">
        <v>947</v>
      </c>
      <c r="F284" s="252" t="s">
        <v>139</v>
      </c>
      <c r="G284" s="256"/>
      <c r="H284" s="257">
        <v>1497</v>
      </c>
      <c r="I284" s="257">
        <v>0</v>
      </c>
      <c r="J284" s="257">
        <v>0</v>
      </c>
      <c r="K284" s="257">
        <v>503.89</v>
      </c>
      <c r="L284" s="257">
        <v>0</v>
      </c>
      <c r="M284" s="257"/>
      <c r="N284" s="257">
        <v>0</v>
      </c>
    </row>
    <row r="285" spans="1:14" ht="15" x14ac:dyDescent="0.2">
      <c r="A285" s="259" t="s">
        <v>78</v>
      </c>
      <c r="B285" s="252" t="s">
        <v>130</v>
      </c>
      <c r="C285" s="252" t="s">
        <v>392</v>
      </c>
      <c r="D285" s="252" t="s">
        <v>392</v>
      </c>
      <c r="E285" s="251" t="s">
        <v>947</v>
      </c>
      <c r="F285" s="252" t="s">
        <v>79</v>
      </c>
      <c r="G285" s="256"/>
      <c r="H285" s="257">
        <v>1497</v>
      </c>
      <c r="I285" s="257">
        <v>0</v>
      </c>
      <c r="J285" s="257">
        <f t="shared" si="167"/>
        <v>1497</v>
      </c>
      <c r="K285" s="257">
        <v>-503.89</v>
      </c>
      <c r="L285" s="257">
        <v>1472.6</v>
      </c>
      <c r="M285" s="257">
        <v>-67.7</v>
      </c>
      <c r="N285" s="257">
        <f>L285+M285</f>
        <v>1404.8999999999999</v>
      </c>
    </row>
    <row r="286" spans="1:14" ht="15" x14ac:dyDescent="0.2">
      <c r="A286" s="398" t="s">
        <v>231</v>
      </c>
      <c r="B286" s="250" t="s">
        <v>130</v>
      </c>
      <c r="C286" s="250" t="s">
        <v>202</v>
      </c>
      <c r="D286" s="250" t="s">
        <v>212</v>
      </c>
      <c r="E286" s="250"/>
      <c r="F286" s="250"/>
      <c r="G286" s="262" t="e">
        <f>G293+G311+G323</f>
        <v>#REF!</v>
      </c>
      <c r="H286" s="261" t="e">
        <f t="shared" ref="H286:L286" si="170">H311+H323</f>
        <v>#REF!</v>
      </c>
      <c r="I286" s="261" t="e">
        <f t="shared" si="170"/>
        <v>#REF!</v>
      </c>
      <c r="J286" s="261" t="e">
        <f t="shared" si="170"/>
        <v>#REF!</v>
      </c>
      <c r="K286" s="261" t="e">
        <f t="shared" si="170"/>
        <v>#REF!</v>
      </c>
      <c r="L286" s="261">
        <f t="shared" si="170"/>
        <v>18150</v>
      </c>
      <c r="M286" s="261">
        <f t="shared" ref="M286:N286" si="171">M311+M323</f>
        <v>-466.48</v>
      </c>
      <c r="N286" s="261">
        <f t="shared" si="171"/>
        <v>17683.52</v>
      </c>
    </row>
    <row r="287" spans="1:14" ht="12.75" hidden="1" customHeight="1" x14ac:dyDescent="0.2">
      <c r="A287" s="398" t="s">
        <v>329</v>
      </c>
      <c r="B287" s="250" t="s">
        <v>130</v>
      </c>
      <c r="C287" s="250" t="s">
        <v>202</v>
      </c>
      <c r="D287" s="250" t="s">
        <v>212</v>
      </c>
      <c r="E287" s="250" t="s">
        <v>330</v>
      </c>
      <c r="F287" s="250"/>
      <c r="G287" s="256"/>
      <c r="H287" s="256"/>
      <c r="I287" s="257"/>
      <c r="J287" s="257" t="e">
        <f>J288</f>
        <v>#REF!</v>
      </c>
      <c r="K287" s="257"/>
      <c r="L287" s="257" t="e">
        <f>L288</f>
        <v>#REF!</v>
      </c>
      <c r="M287" s="257">
        <f t="shared" ref="M287:N288" si="172">M288</f>
        <v>0</v>
      </c>
      <c r="N287" s="257" t="e">
        <f t="shared" si="172"/>
        <v>#REF!</v>
      </c>
    </row>
    <row r="288" spans="1:14" ht="51" hidden="1" customHeight="1" x14ac:dyDescent="0.2">
      <c r="A288" s="259" t="s">
        <v>140</v>
      </c>
      <c r="B288" s="252" t="s">
        <v>130</v>
      </c>
      <c r="C288" s="252" t="s">
        <v>202</v>
      </c>
      <c r="D288" s="252" t="s">
        <v>212</v>
      </c>
      <c r="E288" s="252" t="s">
        <v>141</v>
      </c>
      <c r="F288" s="252"/>
      <c r="G288" s="256"/>
      <c r="H288" s="256"/>
      <c r="I288" s="257"/>
      <c r="J288" s="257" t="e">
        <f>J289</f>
        <v>#REF!</v>
      </c>
      <c r="K288" s="257"/>
      <c r="L288" s="257" t="e">
        <f>L289</f>
        <v>#REF!</v>
      </c>
      <c r="M288" s="257">
        <f t="shared" si="172"/>
        <v>0</v>
      </c>
      <c r="N288" s="257" t="e">
        <f t="shared" si="172"/>
        <v>#REF!</v>
      </c>
    </row>
    <row r="289" spans="1:14" ht="12.75" hidden="1" customHeight="1" x14ac:dyDescent="0.2">
      <c r="A289" s="259" t="s">
        <v>320</v>
      </c>
      <c r="B289" s="252" t="s">
        <v>130</v>
      </c>
      <c r="C289" s="252" t="s">
        <v>202</v>
      </c>
      <c r="D289" s="252" t="s">
        <v>212</v>
      </c>
      <c r="E289" s="252" t="s">
        <v>141</v>
      </c>
      <c r="F289" s="252" t="s">
        <v>321</v>
      </c>
      <c r="G289" s="256"/>
      <c r="H289" s="256"/>
      <c r="I289" s="257"/>
      <c r="J289" s="257" t="e">
        <f>#REF!+I289</f>
        <v>#REF!</v>
      </c>
      <c r="K289" s="257"/>
      <c r="L289" s="257" t="e">
        <f>F289+J289</f>
        <v>#REF!</v>
      </c>
      <c r="M289" s="257">
        <f t="shared" ref="M289:N289" si="173">G289+K289</f>
        <v>0</v>
      </c>
      <c r="N289" s="257" t="e">
        <f t="shared" si="173"/>
        <v>#REF!</v>
      </c>
    </row>
    <row r="290" spans="1:14" ht="30.75" hidden="1" customHeight="1" x14ac:dyDescent="0.2">
      <c r="A290" s="259" t="s">
        <v>123</v>
      </c>
      <c r="B290" s="252" t="s">
        <v>130</v>
      </c>
      <c r="C290" s="252" t="s">
        <v>202</v>
      </c>
      <c r="D290" s="252" t="s">
        <v>212</v>
      </c>
      <c r="E290" s="260" t="s">
        <v>332</v>
      </c>
      <c r="F290" s="252"/>
      <c r="G290" s="256"/>
      <c r="H290" s="256"/>
      <c r="I290" s="257">
        <f t="shared" ref="I290:N291" si="174">I291</f>
        <v>-2264.25</v>
      </c>
      <c r="J290" s="257">
        <f t="shared" si="174"/>
        <v>-2264.25</v>
      </c>
      <c r="K290" s="257">
        <f t="shared" si="174"/>
        <v>-2264.25</v>
      </c>
      <c r="L290" s="257">
        <f t="shared" si="174"/>
        <v>-2264.25</v>
      </c>
      <c r="M290" s="257">
        <f t="shared" si="174"/>
        <v>-4528.5</v>
      </c>
      <c r="N290" s="257">
        <f t="shared" si="174"/>
        <v>-4528.5</v>
      </c>
    </row>
    <row r="291" spans="1:14" ht="15" hidden="1" x14ac:dyDescent="0.2">
      <c r="A291" s="259" t="s">
        <v>333</v>
      </c>
      <c r="B291" s="252" t="s">
        <v>130</v>
      </c>
      <c r="C291" s="252" t="s">
        <v>202</v>
      </c>
      <c r="D291" s="252" t="s">
        <v>212</v>
      </c>
      <c r="E291" s="260" t="s">
        <v>334</v>
      </c>
      <c r="F291" s="252"/>
      <c r="G291" s="256"/>
      <c r="H291" s="256"/>
      <c r="I291" s="257">
        <f t="shared" si="174"/>
        <v>-2264.25</v>
      </c>
      <c r="J291" s="257">
        <f t="shared" si="174"/>
        <v>-2264.25</v>
      </c>
      <c r="K291" s="257">
        <f t="shared" si="174"/>
        <v>-2264.25</v>
      </c>
      <c r="L291" s="257">
        <f t="shared" si="174"/>
        <v>-2264.25</v>
      </c>
      <c r="M291" s="257">
        <f t="shared" si="174"/>
        <v>-4528.5</v>
      </c>
      <c r="N291" s="257">
        <f t="shared" si="174"/>
        <v>-4528.5</v>
      </c>
    </row>
    <row r="292" spans="1:14" ht="15" hidden="1" x14ac:dyDescent="0.2">
      <c r="A292" s="259" t="s">
        <v>95</v>
      </c>
      <c r="B292" s="252" t="s">
        <v>130</v>
      </c>
      <c r="C292" s="252" t="s">
        <v>202</v>
      </c>
      <c r="D292" s="252" t="s">
        <v>212</v>
      </c>
      <c r="E292" s="260" t="s">
        <v>334</v>
      </c>
      <c r="F292" s="252" t="s">
        <v>96</v>
      </c>
      <c r="G292" s="256"/>
      <c r="H292" s="256"/>
      <c r="I292" s="257">
        <v>-2264.25</v>
      </c>
      <c r="J292" s="257">
        <f>G292+I292</f>
        <v>-2264.25</v>
      </c>
      <c r="K292" s="257">
        <v>-2264.25</v>
      </c>
      <c r="L292" s="257">
        <f>H292+J292</f>
        <v>-2264.25</v>
      </c>
      <c r="M292" s="257">
        <f t="shared" ref="M292:N292" si="175">I292+K292</f>
        <v>-4528.5</v>
      </c>
      <c r="N292" s="257">
        <f t="shared" si="175"/>
        <v>-4528.5</v>
      </c>
    </row>
    <row r="293" spans="1:14" ht="27" hidden="1" customHeight="1" x14ac:dyDescent="0.2">
      <c r="A293" s="259" t="s">
        <v>988</v>
      </c>
      <c r="B293" s="252" t="s">
        <v>130</v>
      </c>
      <c r="C293" s="252" t="s">
        <v>202</v>
      </c>
      <c r="D293" s="252" t="s">
        <v>212</v>
      </c>
      <c r="E293" s="260" t="s">
        <v>455</v>
      </c>
      <c r="F293" s="252"/>
      <c r="G293" s="256"/>
      <c r="H293" s="256"/>
      <c r="I293" s="257">
        <f>I294+I296</f>
        <v>-12509.01</v>
      </c>
      <c r="J293" s="257" t="e">
        <f>J294+J296</f>
        <v>#REF!</v>
      </c>
      <c r="K293" s="257">
        <f>K294+K296</f>
        <v>-12509.01</v>
      </c>
      <c r="L293" s="257" t="e">
        <f>L294+L296</f>
        <v>#REF!</v>
      </c>
      <c r="M293" s="257" t="e">
        <f t="shared" ref="M293:N293" si="176">M294+M296</f>
        <v>#REF!</v>
      </c>
      <c r="N293" s="257" t="e">
        <f t="shared" si="176"/>
        <v>#REF!</v>
      </c>
    </row>
    <row r="294" spans="1:14" ht="27" hidden="1" customHeight="1" x14ac:dyDescent="0.2">
      <c r="A294" s="259" t="s">
        <v>977</v>
      </c>
      <c r="B294" s="252" t="s">
        <v>130</v>
      </c>
      <c r="C294" s="252" t="s">
        <v>202</v>
      </c>
      <c r="D294" s="252" t="s">
        <v>212</v>
      </c>
      <c r="E294" s="260" t="s">
        <v>456</v>
      </c>
      <c r="F294" s="252"/>
      <c r="G294" s="256"/>
      <c r="H294" s="256"/>
      <c r="I294" s="257">
        <f>I295</f>
        <v>-2241.17</v>
      </c>
      <c r="J294" s="257" t="e">
        <f>J295</f>
        <v>#REF!</v>
      </c>
      <c r="K294" s="257">
        <f>K295</f>
        <v>-2241.17</v>
      </c>
      <c r="L294" s="257" t="e">
        <f>L295</f>
        <v>#REF!</v>
      </c>
      <c r="M294" s="257" t="e">
        <f t="shared" ref="M294:N294" si="177">M295</f>
        <v>#REF!</v>
      </c>
      <c r="N294" s="257" t="e">
        <f t="shared" si="177"/>
        <v>#REF!</v>
      </c>
    </row>
    <row r="295" spans="1:14" ht="21" hidden="1" customHeight="1" x14ac:dyDescent="0.2">
      <c r="A295" s="259" t="s">
        <v>95</v>
      </c>
      <c r="B295" s="252" t="s">
        <v>130</v>
      </c>
      <c r="C295" s="252" t="s">
        <v>202</v>
      </c>
      <c r="D295" s="252" t="s">
        <v>212</v>
      </c>
      <c r="E295" s="260" t="s">
        <v>456</v>
      </c>
      <c r="F295" s="252" t="s">
        <v>96</v>
      </c>
      <c r="G295" s="256"/>
      <c r="H295" s="256"/>
      <c r="I295" s="257">
        <v>-2241.17</v>
      </c>
      <c r="J295" s="257" t="e">
        <f>#REF!+I295</f>
        <v>#REF!</v>
      </c>
      <c r="K295" s="257">
        <v>-2241.17</v>
      </c>
      <c r="L295" s="257" t="e">
        <f>#REF!+J295</f>
        <v>#REF!</v>
      </c>
      <c r="M295" s="257" t="e">
        <f>#REF!+K295</f>
        <v>#REF!</v>
      </c>
      <c r="N295" s="257" t="e">
        <f>#REF!+L295</f>
        <v>#REF!</v>
      </c>
    </row>
    <row r="296" spans="1:14" ht="27" hidden="1" customHeight="1" x14ac:dyDescent="0.2">
      <c r="A296" s="259" t="s">
        <v>989</v>
      </c>
      <c r="B296" s="252" t="s">
        <v>130</v>
      </c>
      <c r="C296" s="252" t="s">
        <v>202</v>
      </c>
      <c r="D296" s="252" t="s">
        <v>212</v>
      </c>
      <c r="E296" s="260" t="s">
        <v>483</v>
      </c>
      <c r="F296" s="252"/>
      <c r="G296" s="256"/>
      <c r="H296" s="256"/>
      <c r="I296" s="257">
        <f>I297+I298+I299+I300+I301+I302</f>
        <v>-10267.84</v>
      </c>
      <c r="J296" s="257" t="e">
        <f>J297+J298+J299+J300+J301+J302</f>
        <v>#REF!</v>
      </c>
      <c r="K296" s="257">
        <f>K297+K298+K299+K300+K301+K302</f>
        <v>-10267.84</v>
      </c>
      <c r="L296" s="257" t="e">
        <f>L297+L298+L299+L300+L301+L302</f>
        <v>#REF!</v>
      </c>
      <c r="M296" s="257" t="e">
        <f t="shared" ref="M296:N296" si="178">M297+M298+M299+M300+M301+M302</f>
        <v>#REF!</v>
      </c>
      <c r="N296" s="257" t="e">
        <f t="shared" si="178"/>
        <v>#REF!</v>
      </c>
    </row>
    <row r="297" spans="1:14" ht="15.75" hidden="1" customHeight="1" x14ac:dyDescent="0.2">
      <c r="A297" s="259" t="s">
        <v>95</v>
      </c>
      <c r="B297" s="252" t="s">
        <v>130</v>
      </c>
      <c r="C297" s="252" t="s">
        <v>202</v>
      </c>
      <c r="D297" s="252" t="s">
        <v>212</v>
      </c>
      <c r="E297" s="260" t="s">
        <v>483</v>
      </c>
      <c r="F297" s="252" t="s">
        <v>96</v>
      </c>
      <c r="G297" s="256"/>
      <c r="H297" s="256"/>
      <c r="I297" s="257">
        <v>-7598.11</v>
      </c>
      <c r="J297" s="257" t="e">
        <f>#REF!+I297</f>
        <v>#REF!</v>
      </c>
      <c r="K297" s="257">
        <v>-7598.11</v>
      </c>
      <c r="L297" s="257" t="e">
        <f>#REF!+J297</f>
        <v>#REF!</v>
      </c>
      <c r="M297" s="257" t="e">
        <f>#REF!+K297</f>
        <v>#REF!</v>
      </c>
      <c r="N297" s="257" t="e">
        <f>#REF!+L297</f>
        <v>#REF!</v>
      </c>
    </row>
    <row r="298" spans="1:14" ht="12.75" hidden="1" customHeight="1" x14ac:dyDescent="0.2">
      <c r="A298" s="259" t="s">
        <v>97</v>
      </c>
      <c r="B298" s="252" t="s">
        <v>130</v>
      </c>
      <c r="C298" s="252" t="s">
        <v>202</v>
      </c>
      <c r="D298" s="252" t="s">
        <v>212</v>
      </c>
      <c r="E298" s="260" t="s">
        <v>483</v>
      </c>
      <c r="F298" s="252" t="s">
        <v>98</v>
      </c>
      <c r="G298" s="256"/>
      <c r="H298" s="256"/>
      <c r="I298" s="257">
        <v>-511.2</v>
      </c>
      <c r="J298" s="257" t="e">
        <f>#REF!+I298</f>
        <v>#REF!</v>
      </c>
      <c r="K298" s="257">
        <v>-511.2</v>
      </c>
      <c r="L298" s="257" t="e">
        <f>#REF!+J298</f>
        <v>#REF!</v>
      </c>
      <c r="M298" s="257" t="e">
        <f>#REF!+K298</f>
        <v>#REF!</v>
      </c>
      <c r="N298" s="257" t="e">
        <f>#REF!+L298</f>
        <v>#REF!</v>
      </c>
    </row>
    <row r="299" spans="1:14" ht="12.75" hidden="1" customHeight="1" x14ac:dyDescent="0.25">
      <c r="A299" s="357" t="s">
        <v>99</v>
      </c>
      <c r="B299" s="252" t="s">
        <v>130</v>
      </c>
      <c r="C299" s="252" t="s">
        <v>202</v>
      </c>
      <c r="D299" s="252" t="s">
        <v>212</v>
      </c>
      <c r="E299" s="260" t="s">
        <v>483</v>
      </c>
      <c r="F299" s="252" t="s">
        <v>100</v>
      </c>
      <c r="G299" s="256"/>
      <c r="H299" s="256"/>
      <c r="I299" s="257">
        <v>-200</v>
      </c>
      <c r="J299" s="257" t="e">
        <f>#REF!+I299</f>
        <v>#REF!</v>
      </c>
      <c r="K299" s="257">
        <v>-200</v>
      </c>
      <c r="L299" s="257" t="e">
        <f>#REF!+J299</f>
        <v>#REF!</v>
      </c>
      <c r="M299" s="257" t="e">
        <f>#REF!+K299</f>
        <v>#REF!</v>
      </c>
      <c r="N299" s="257" t="e">
        <f>#REF!+L299</f>
        <v>#REF!</v>
      </c>
    </row>
    <row r="300" spans="1:14" ht="12.75" hidden="1" customHeight="1" x14ac:dyDescent="0.2">
      <c r="A300" s="259" t="s">
        <v>93</v>
      </c>
      <c r="B300" s="252" t="s">
        <v>130</v>
      </c>
      <c r="C300" s="252" t="s">
        <v>202</v>
      </c>
      <c r="D300" s="252" t="s">
        <v>212</v>
      </c>
      <c r="E300" s="260" t="s">
        <v>483</v>
      </c>
      <c r="F300" s="252" t="s">
        <v>94</v>
      </c>
      <c r="G300" s="256"/>
      <c r="H300" s="256"/>
      <c r="I300" s="257">
        <v>-1788.53</v>
      </c>
      <c r="J300" s="257" t="e">
        <f>#REF!+I300</f>
        <v>#REF!</v>
      </c>
      <c r="K300" s="257">
        <v>-1788.53</v>
      </c>
      <c r="L300" s="257" t="e">
        <f>#REF!+J300</f>
        <v>#REF!</v>
      </c>
      <c r="M300" s="257" t="e">
        <f>#REF!+K300</f>
        <v>#REF!</v>
      </c>
      <c r="N300" s="257" t="e">
        <f>#REF!+L300</f>
        <v>#REF!</v>
      </c>
    </row>
    <row r="301" spans="1:14" ht="12.75" hidden="1" customHeight="1" x14ac:dyDescent="0.2">
      <c r="A301" s="259" t="s">
        <v>103</v>
      </c>
      <c r="B301" s="252" t="s">
        <v>130</v>
      </c>
      <c r="C301" s="252" t="s">
        <v>202</v>
      </c>
      <c r="D301" s="252" t="s">
        <v>212</v>
      </c>
      <c r="E301" s="260" t="s">
        <v>483</v>
      </c>
      <c r="F301" s="252" t="s">
        <v>104</v>
      </c>
      <c r="G301" s="256"/>
      <c r="H301" s="256"/>
      <c r="I301" s="257">
        <v>-31</v>
      </c>
      <c r="J301" s="257" t="e">
        <f>#REF!+I301</f>
        <v>#REF!</v>
      </c>
      <c r="K301" s="257">
        <v>-31</v>
      </c>
      <c r="L301" s="257" t="e">
        <f>#REF!+J301</f>
        <v>#REF!</v>
      </c>
      <c r="M301" s="257" t="e">
        <f>#REF!+K301</f>
        <v>#REF!</v>
      </c>
      <c r="N301" s="257" t="e">
        <f>#REF!+L301</f>
        <v>#REF!</v>
      </c>
    </row>
    <row r="302" spans="1:14" ht="15" hidden="1" customHeight="1" x14ac:dyDescent="0.25">
      <c r="A302" s="357" t="s">
        <v>400</v>
      </c>
      <c r="B302" s="252" t="s">
        <v>130</v>
      </c>
      <c r="C302" s="252" t="s">
        <v>202</v>
      </c>
      <c r="D302" s="252" t="s">
        <v>212</v>
      </c>
      <c r="E302" s="260" t="s">
        <v>483</v>
      </c>
      <c r="F302" s="252" t="s">
        <v>106</v>
      </c>
      <c r="G302" s="256"/>
      <c r="H302" s="256"/>
      <c r="I302" s="257">
        <v>-139</v>
      </c>
      <c r="J302" s="257" t="e">
        <f>#REF!+I302</f>
        <v>#REF!</v>
      </c>
      <c r="K302" s="257">
        <v>-139</v>
      </c>
      <c r="L302" s="257" t="e">
        <f>#REF!+J302</f>
        <v>#REF!</v>
      </c>
      <c r="M302" s="257" t="e">
        <f>#REF!+K302</f>
        <v>#REF!</v>
      </c>
      <c r="N302" s="257" t="e">
        <f>#REF!+L302</f>
        <v>#REF!</v>
      </c>
    </row>
    <row r="303" spans="1:14" ht="12.75" hidden="1" customHeight="1" x14ac:dyDescent="0.2">
      <c r="A303" s="259" t="s">
        <v>404</v>
      </c>
      <c r="B303" s="252" t="s">
        <v>130</v>
      </c>
      <c r="C303" s="252" t="s">
        <v>202</v>
      </c>
      <c r="D303" s="252" t="s">
        <v>212</v>
      </c>
      <c r="E303" s="252" t="s">
        <v>62</v>
      </c>
      <c r="F303" s="252"/>
      <c r="G303" s="256"/>
      <c r="H303" s="256"/>
      <c r="I303" s="257">
        <f>I304</f>
        <v>-9411.64</v>
      </c>
      <c r="J303" s="257">
        <f>J304</f>
        <v>-9411.64</v>
      </c>
      <c r="K303" s="257">
        <f>K304</f>
        <v>-9411.64</v>
      </c>
      <c r="L303" s="257">
        <f>L304</f>
        <v>-9411.64</v>
      </c>
      <c r="M303" s="257">
        <f t="shared" ref="M303:N303" si="179">M304</f>
        <v>-18823.28</v>
      </c>
      <c r="N303" s="257">
        <f t="shared" si="179"/>
        <v>-18823.28</v>
      </c>
    </row>
    <row r="304" spans="1:14" ht="27" hidden="1" customHeight="1" x14ac:dyDescent="0.2">
      <c r="A304" s="259" t="s">
        <v>422</v>
      </c>
      <c r="B304" s="252" t="s">
        <v>130</v>
      </c>
      <c r="C304" s="252" t="s">
        <v>202</v>
      </c>
      <c r="D304" s="252" t="s">
        <v>212</v>
      </c>
      <c r="E304" s="252" t="s">
        <v>431</v>
      </c>
      <c r="F304" s="252"/>
      <c r="G304" s="256"/>
      <c r="H304" s="256"/>
      <c r="I304" s="257">
        <f>I305+I306+I307+I308+I309+I310</f>
        <v>-9411.64</v>
      </c>
      <c r="J304" s="257">
        <f>J305+J306+J307+J308+J309+J310</f>
        <v>-9411.64</v>
      </c>
      <c r="K304" s="257">
        <f>K305+K306+K307+K308+K309+K310</f>
        <v>-9411.64</v>
      </c>
      <c r="L304" s="257">
        <f>L305+L306+L307+L308+L309+L310</f>
        <v>-9411.64</v>
      </c>
      <c r="M304" s="257">
        <f t="shared" ref="M304:N304" si="180">M305+M306+M307+M308+M309+M310</f>
        <v>-18823.28</v>
      </c>
      <c r="N304" s="257">
        <f t="shared" si="180"/>
        <v>-18823.28</v>
      </c>
    </row>
    <row r="305" spans="1:14" ht="12.75" hidden="1" customHeight="1" x14ac:dyDescent="0.2">
      <c r="A305" s="259" t="s">
        <v>95</v>
      </c>
      <c r="B305" s="252" t="s">
        <v>130</v>
      </c>
      <c r="C305" s="252" t="s">
        <v>202</v>
      </c>
      <c r="D305" s="252" t="s">
        <v>212</v>
      </c>
      <c r="E305" s="252" t="s">
        <v>431</v>
      </c>
      <c r="F305" s="252" t="s">
        <v>96</v>
      </c>
      <c r="G305" s="256"/>
      <c r="H305" s="256"/>
      <c r="I305" s="257">
        <v>-6780.24</v>
      </c>
      <c r="J305" s="257">
        <f t="shared" ref="J305:J310" si="181">G305+I305</f>
        <v>-6780.24</v>
      </c>
      <c r="K305" s="257">
        <v>-6780.24</v>
      </c>
      <c r="L305" s="257">
        <f t="shared" ref="L305:L310" si="182">H305+J305</f>
        <v>-6780.24</v>
      </c>
      <c r="M305" s="257">
        <f t="shared" ref="M305:M310" si="183">I305+K305</f>
        <v>-13560.48</v>
      </c>
      <c r="N305" s="257">
        <f t="shared" ref="N305:N310" si="184">J305+L305</f>
        <v>-13560.48</v>
      </c>
    </row>
    <row r="306" spans="1:14" ht="12.75" hidden="1" customHeight="1" x14ac:dyDescent="0.2">
      <c r="A306" s="259" t="s">
        <v>97</v>
      </c>
      <c r="B306" s="252" t="s">
        <v>130</v>
      </c>
      <c r="C306" s="252" t="s">
        <v>202</v>
      </c>
      <c r="D306" s="252" t="s">
        <v>212</v>
      </c>
      <c r="E306" s="252" t="s">
        <v>431</v>
      </c>
      <c r="F306" s="252" t="s">
        <v>98</v>
      </c>
      <c r="G306" s="256"/>
      <c r="H306" s="256"/>
      <c r="I306" s="257">
        <v>-281.39999999999998</v>
      </c>
      <c r="J306" s="257">
        <f t="shared" si="181"/>
        <v>-281.39999999999998</v>
      </c>
      <c r="K306" s="257">
        <v>-281.39999999999998</v>
      </c>
      <c r="L306" s="257">
        <f t="shared" si="182"/>
        <v>-281.39999999999998</v>
      </c>
      <c r="M306" s="257">
        <f t="shared" si="183"/>
        <v>-562.79999999999995</v>
      </c>
      <c r="N306" s="257">
        <f t="shared" si="184"/>
        <v>-562.79999999999995</v>
      </c>
    </row>
    <row r="307" spans="1:14" ht="17.25" hidden="1" customHeight="1" x14ac:dyDescent="0.25">
      <c r="A307" s="357" t="s">
        <v>99</v>
      </c>
      <c r="B307" s="252" t="s">
        <v>130</v>
      </c>
      <c r="C307" s="252" t="s">
        <v>202</v>
      </c>
      <c r="D307" s="252" t="s">
        <v>212</v>
      </c>
      <c r="E307" s="252" t="s">
        <v>431</v>
      </c>
      <c r="F307" s="252" t="s">
        <v>100</v>
      </c>
      <c r="G307" s="256"/>
      <c r="H307" s="256"/>
      <c r="I307" s="257">
        <v>-200</v>
      </c>
      <c r="J307" s="257">
        <f t="shared" si="181"/>
        <v>-200</v>
      </c>
      <c r="K307" s="257">
        <v>-200</v>
      </c>
      <c r="L307" s="257">
        <f t="shared" si="182"/>
        <v>-200</v>
      </c>
      <c r="M307" s="257">
        <f t="shared" si="183"/>
        <v>-400</v>
      </c>
      <c r="N307" s="257">
        <f t="shared" si="184"/>
        <v>-400</v>
      </c>
    </row>
    <row r="308" spans="1:14" ht="21" hidden="1" customHeight="1" x14ac:dyDescent="0.2">
      <c r="A308" s="259" t="s">
        <v>93</v>
      </c>
      <c r="B308" s="252" t="s">
        <v>130</v>
      </c>
      <c r="C308" s="252" t="s">
        <v>202</v>
      </c>
      <c r="D308" s="252" t="s">
        <v>212</v>
      </c>
      <c r="E308" s="252" t="s">
        <v>431</v>
      </c>
      <c r="F308" s="252" t="s">
        <v>94</v>
      </c>
      <c r="G308" s="256"/>
      <c r="H308" s="256"/>
      <c r="I308" s="257">
        <v>-2000</v>
      </c>
      <c r="J308" s="257">
        <f t="shared" si="181"/>
        <v>-2000</v>
      </c>
      <c r="K308" s="257">
        <v>-2000</v>
      </c>
      <c r="L308" s="257">
        <f t="shared" si="182"/>
        <v>-2000</v>
      </c>
      <c r="M308" s="257">
        <f t="shared" si="183"/>
        <v>-4000</v>
      </c>
      <c r="N308" s="257">
        <f t="shared" si="184"/>
        <v>-4000</v>
      </c>
    </row>
    <row r="309" spans="1:14" ht="12.75" hidden="1" customHeight="1" x14ac:dyDescent="0.2">
      <c r="A309" s="259" t="s">
        <v>103</v>
      </c>
      <c r="B309" s="252" t="s">
        <v>130</v>
      </c>
      <c r="C309" s="252" t="s">
        <v>202</v>
      </c>
      <c r="D309" s="252" t="s">
        <v>212</v>
      </c>
      <c r="E309" s="252" t="s">
        <v>431</v>
      </c>
      <c r="F309" s="252" t="s">
        <v>104</v>
      </c>
      <c r="G309" s="256"/>
      <c r="H309" s="256"/>
      <c r="I309" s="257">
        <v>-31</v>
      </c>
      <c r="J309" s="257">
        <f t="shared" si="181"/>
        <v>-31</v>
      </c>
      <c r="K309" s="257">
        <v>-31</v>
      </c>
      <c r="L309" s="257">
        <f t="shared" si="182"/>
        <v>-31</v>
      </c>
      <c r="M309" s="257">
        <f t="shared" si="183"/>
        <v>-62</v>
      </c>
      <c r="N309" s="257">
        <f t="shared" si="184"/>
        <v>-62</v>
      </c>
    </row>
    <row r="310" spans="1:14" ht="12.75" hidden="1" customHeight="1" x14ac:dyDescent="0.25">
      <c r="A310" s="357" t="s">
        <v>400</v>
      </c>
      <c r="B310" s="252" t="s">
        <v>130</v>
      </c>
      <c r="C310" s="252" t="s">
        <v>202</v>
      </c>
      <c r="D310" s="252" t="s">
        <v>212</v>
      </c>
      <c r="E310" s="252" t="s">
        <v>431</v>
      </c>
      <c r="F310" s="252" t="s">
        <v>106</v>
      </c>
      <c r="G310" s="256"/>
      <c r="H310" s="256"/>
      <c r="I310" s="257">
        <v>-119</v>
      </c>
      <c r="J310" s="257">
        <f t="shared" si="181"/>
        <v>-119</v>
      </c>
      <c r="K310" s="257">
        <v>-119</v>
      </c>
      <c r="L310" s="257">
        <f t="shared" si="182"/>
        <v>-119</v>
      </c>
      <c r="M310" s="257">
        <f t="shared" si="183"/>
        <v>-238</v>
      </c>
      <c r="N310" s="257">
        <f t="shared" si="184"/>
        <v>-238</v>
      </c>
    </row>
    <row r="311" spans="1:14" ht="30.75" customHeight="1" x14ac:dyDescent="0.25">
      <c r="A311" s="357" t="s">
        <v>977</v>
      </c>
      <c r="B311" s="252" t="s">
        <v>130</v>
      </c>
      <c r="C311" s="252" t="s">
        <v>202</v>
      </c>
      <c r="D311" s="252" t="s">
        <v>212</v>
      </c>
      <c r="E311" s="252"/>
      <c r="F311" s="252"/>
      <c r="G311" s="257" t="e">
        <f>G313+#REF!+G317+G318+G319+G320+G321</f>
        <v>#REF!</v>
      </c>
      <c r="H311" s="257" t="e">
        <f>H312+#REF!+H317+H318+H319+H320+H321+H315+H316</f>
        <v>#REF!</v>
      </c>
      <c r="I311" s="257" t="e">
        <f>I312+#REF!+I317+I318+I319+I320+I321+I315+I316</f>
        <v>#REF!</v>
      </c>
      <c r="J311" s="257" t="e">
        <f>J312+#REF!+J317+J318+J319+J320+J321+J315+J316</f>
        <v>#REF!</v>
      </c>
      <c r="K311" s="257" t="e">
        <f>K312+#REF!+K317+K318+K319+K320+K321+K315+K316+K322</f>
        <v>#REF!</v>
      </c>
      <c r="L311" s="257">
        <f>L312+L317+L318+L319+L320+L321+L315+L316+L322</f>
        <v>9532</v>
      </c>
      <c r="M311" s="257">
        <f t="shared" ref="M311:N311" si="185">M312+M317+M318+M319+M320+M321+M315+M316+M322</f>
        <v>-592</v>
      </c>
      <c r="N311" s="257">
        <f t="shared" si="185"/>
        <v>8940</v>
      </c>
    </row>
    <row r="312" spans="1:14" ht="15" customHeight="1" x14ac:dyDescent="0.2">
      <c r="A312" s="259" t="s">
        <v>913</v>
      </c>
      <c r="B312" s="252" t="s">
        <v>130</v>
      </c>
      <c r="C312" s="252" t="s">
        <v>202</v>
      </c>
      <c r="D312" s="252" t="s">
        <v>212</v>
      </c>
      <c r="E312" s="252" t="s">
        <v>848</v>
      </c>
      <c r="F312" s="252"/>
      <c r="G312" s="359"/>
      <c r="H312" s="257">
        <f t="shared" ref="H312:L312" si="186">H313+H314</f>
        <v>2530</v>
      </c>
      <c r="I312" s="257">
        <f t="shared" si="186"/>
        <v>0</v>
      </c>
      <c r="J312" s="257">
        <f t="shared" si="186"/>
        <v>2530</v>
      </c>
      <c r="K312" s="257">
        <f t="shared" si="186"/>
        <v>0</v>
      </c>
      <c r="L312" s="257">
        <f t="shared" si="186"/>
        <v>1915</v>
      </c>
      <c r="M312" s="257">
        <f t="shared" ref="M312:N312" si="187">M313+M314</f>
        <v>6</v>
      </c>
      <c r="N312" s="257">
        <f t="shared" si="187"/>
        <v>1921</v>
      </c>
    </row>
    <row r="313" spans="1:14" ht="12.75" customHeight="1" x14ac:dyDescent="0.25">
      <c r="A313" s="357" t="s">
        <v>95</v>
      </c>
      <c r="B313" s="252" t="s">
        <v>130</v>
      </c>
      <c r="C313" s="252" t="s">
        <v>202</v>
      </c>
      <c r="D313" s="252" t="s">
        <v>212</v>
      </c>
      <c r="E313" s="252" t="s">
        <v>848</v>
      </c>
      <c r="F313" s="252" t="s">
        <v>96</v>
      </c>
      <c r="G313" s="359"/>
      <c r="H313" s="257">
        <v>2530</v>
      </c>
      <c r="I313" s="257">
        <v>-586.84</v>
      </c>
      <c r="J313" s="257">
        <f t="shared" ref="J313:J321" si="188">H313+I313</f>
        <v>1943.1599999999999</v>
      </c>
      <c r="K313" s="257">
        <v>0</v>
      </c>
      <c r="L313" s="257">
        <v>1470</v>
      </c>
      <c r="M313" s="257">
        <v>5</v>
      </c>
      <c r="N313" s="257">
        <f>L313+M313</f>
        <v>1475</v>
      </c>
    </row>
    <row r="314" spans="1:14" ht="34.5" customHeight="1" x14ac:dyDescent="0.2">
      <c r="A314" s="273" t="s">
        <v>898</v>
      </c>
      <c r="B314" s="252" t="s">
        <v>130</v>
      </c>
      <c r="C314" s="252" t="s">
        <v>202</v>
      </c>
      <c r="D314" s="252" t="s">
        <v>212</v>
      </c>
      <c r="E314" s="252" t="s">
        <v>848</v>
      </c>
      <c r="F314" s="252" t="s">
        <v>896</v>
      </c>
      <c r="G314" s="359"/>
      <c r="H314" s="257"/>
      <c r="I314" s="257">
        <v>586.84</v>
      </c>
      <c r="J314" s="257">
        <f t="shared" si="188"/>
        <v>586.84</v>
      </c>
      <c r="K314" s="257">
        <v>0</v>
      </c>
      <c r="L314" s="257">
        <v>445</v>
      </c>
      <c r="M314" s="257">
        <v>1</v>
      </c>
      <c r="N314" s="257">
        <f t="shared" ref="N314:N321" si="189">L314+M314</f>
        <v>446</v>
      </c>
    </row>
    <row r="315" spans="1:14" ht="12.75" customHeight="1" x14ac:dyDescent="0.2">
      <c r="A315" s="361" t="s">
        <v>897</v>
      </c>
      <c r="B315" s="252" t="s">
        <v>130</v>
      </c>
      <c r="C315" s="252" t="s">
        <v>202</v>
      </c>
      <c r="D315" s="252" t="s">
        <v>212</v>
      </c>
      <c r="E315" s="252" t="s">
        <v>846</v>
      </c>
      <c r="F315" s="252" t="s">
        <v>832</v>
      </c>
      <c r="G315" s="359"/>
      <c r="H315" s="257">
        <v>0</v>
      </c>
      <c r="I315" s="257">
        <v>3218.13</v>
      </c>
      <c r="J315" s="257">
        <f t="shared" si="188"/>
        <v>3218.13</v>
      </c>
      <c r="K315" s="257">
        <v>0</v>
      </c>
      <c r="L315" s="257">
        <v>4467</v>
      </c>
      <c r="M315" s="257">
        <v>383</v>
      </c>
      <c r="N315" s="257">
        <f t="shared" si="189"/>
        <v>4850</v>
      </c>
    </row>
    <row r="316" spans="1:14" ht="30" customHeight="1" x14ac:dyDescent="0.2">
      <c r="A316" s="361" t="s">
        <v>900</v>
      </c>
      <c r="B316" s="252" t="s">
        <v>130</v>
      </c>
      <c r="C316" s="252" t="s">
        <v>202</v>
      </c>
      <c r="D316" s="252" t="s">
        <v>212</v>
      </c>
      <c r="E316" s="252" t="s">
        <v>846</v>
      </c>
      <c r="F316" s="252" t="s">
        <v>899</v>
      </c>
      <c r="G316" s="359"/>
      <c r="H316" s="257">
        <v>0</v>
      </c>
      <c r="I316" s="257">
        <v>971.87</v>
      </c>
      <c r="J316" s="257">
        <f t="shared" si="188"/>
        <v>971.87</v>
      </c>
      <c r="K316" s="257">
        <v>0</v>
      </c>
      <c r="L316" s="257">
        <v>1350</v>
      </c>
      <c r="M316" s="257">
        <v>115</v>
      </c>
      <c r="N316" s="257">
        <f t="shared" si="189"/>
        <v>1465</v>
      </c>
    </row>
    <row r="317" spans="1:14" ht="12.75" customHeight="1" x14ac:dyDescent="0.25">
      <c r="A317" s="357" t="s">
        <v>952</v>
      </c>
      <c r="B317" s="252" t="s">
        <v>130</v>
      </c>
      <c r="C317" s="252" t="s">
        <v>202</v>
      </c>
      <c r="D317" s="252" t="s">
        <v>212</v>
      </c>
      <c r="E317" s="252" t="s">
        <v>846</v>
      </c>
      <c r="F317" s="252" t="s">
        <v>919</v>
      </c>
      <c r="G317" s="359"/>
      <c r="H317" s="257">
        <v>261</v>
      </c>
      <c r="I317" s="257">
        <v>0</v>
      </c>
      <c r="J317" s="257">
        <f t="shared" si="188"/>
        <v>261</v>
      </c>
      <c r="K317" s="257">
        <v>0</v>
      </c>
      <c r="L317" s="257">
        <v>200</v>
      </c>
      <c r="M317" s="257">
        <v>-200</v>
      </c>
      <c r="N317" s="257">
        <f t="shared" si="189"/>
        <v>0</v>
      </c>
    </row>
    <row r="318" spans="1:14" ht="12.75" customHeight="1" x14ac:dyDescent="0.25">
      <c r="A318" s="357" t="s">
        <v>99</v>
      </c>
      <c r="B318" s="252" t="s">
        <v>130</v>
      </c>
      <c r="C318" s="252" t="s">
        <v>202</v>
      </c>
      <c r="D318" s="252" t="s">
        <v>212</v>
      </c>
      <c r="E318" s="252" t="s">
        <v>846</v>
      </c>
      <c r="F318" s="252" t="s">
        <v>100</v>
      </c>
      <c r="G318" s="359"/>
      <c r="H318" s="257">
        <v>196</v>
      </c>
      <c r="I318" s="257">
        <v>0</v>
      </c>
      <c r="J318" s="257">
        <f t="shared" si="188"/>
        <v>196</v>
      </c>
      <c r="K318" s="257">
        <v>193.16</v>
      </c>
      <c r="L318" s="257">
        <v>300</v>
      </c>
      <c r="M318" s="257">
        <v>-196</v>
      </c>
      <c r="N318" s="257">
        <f t="shared" si="189"/>
        <v>104</v>
      </c>
    </row>
    <row r="319" spans="1:14" ht="12.75" customHeight="1" x14ac:dyDescent="0.25">
      <c r="A319" s="357" t="s">
        <v>93</v>
      </c>
      <c r="B319" s="252" t="s">
        <v>130</v>
      </c>
      <c r="C319" s="252" t="s">
        <v>202</v>
      </c>
      <c r="D319" s="252" t="s">
        <v>212</v>
      </c>
      <c r="E319" s="252" t="s">
        <v>846</v>
      </c>
      <c r="F319" s="252" t="s">
        <v>94</v>
      </c>
      <c r="G319" s="359"/>
      <c r="H319" s="257">
        <v>1500</v>
      </c>
      <c r="I319" s="257">
        <v>0</v>
      </c>
      <c r="J319" s="257">
        <f t="shared" si="188"/>
        <v>1500</v>
      </c>
      <c r="K319" s="257">
        <v>-395.6</v>
      </c>
      <c r="L319" s="257">
        <v>1200</v>
      </c>
      <c r="M319" s="257">
        <v>-600</v>
      </c>
      <c r="N319" s="257">
        <f t="shared" si="189"/>
        <v>600</v>
      </c>
    </row>
    <row r="320" spans="1:14" ht="12.75" customHeight="1" x14ac:dyDescent="0.25">
      <c r="A320" s="357" t="s">
        <v>103</v>
      </c>
      <c r="B320" s="252" t="s">
        <v>130</v>
      </c>
      <c r="C320" s="252" t="s">
        <v>202</v>
      </c>
      <c r="D320" s="252" t="s">
        <v>212</v>
      </c>
      <c r="E320" s="252" t="s">
        <v>846</v>
      </c>
      <c r="F320" s="252" t="s">
        <v>104</v>
      </c>
      <c r="G320" s="359"/>
      <c r="H320" s="257">
        <v>40</v>
      </c>
      <c r="I320" s="257">
        <v>0</v>
      </c>
      <c r="J320" s="257">
        <f t="shared" si="188"/>
        <v>40</v>
      </c>
      <c r="K320" s="257">
        <v>0</v>
      </c>
      <c r="L320" s="257">
        <f>I320+J320</f>
        <v>40</v>
      </c>
      <c r="M320" s="257">
        <v>-40</v>
      </c>
      <c r="N320" s="257">
        <f t="shared" si="189"/>
        <v>0</v>
      </c>
    </row>
    <row r="321" spans="1:14" ht="12.75" customHeight="1" x14ac:dyDescent="0.25">
      <c r="A321" s="357" t="s">
        <v>400</v>
      </c>
      <c r="B321" s="252" t="s">
        <v>130</v>
      </c>
      <c r="C321" s="252" t="s">
        <v>202</v>
      </c>
      <c r="D321" s="252" t="s">
        <v>212</v>
      </c>
      <c r="E321" s="252" t="s">
        <v>846</v>
      </c>
      <c r="F321" s="252" t="s">
        <v>106</v>
      </c>
      <c r="G321" s="256"/>
      <c r="H321" s="257">
        <v>60</v>
      </c>
      <c r="I321" s="257">
        <v>0</v>
      </c>
      <c r="J321" s="257">
        <f t="shared" si="188"/>
        <v>60</v>
      </c>
      <c r="K321" s="257">
        <v>-0.15</v>
      </c>
      <c r="L321" s="257">
        <v>60</v>
      </c>
      <c r="M321" s="257">
        <v>-60</v>
      </c>
      <c r="N321" s="257">
        <f t="shared" si="189"/>
        <v>0</v>
      </c>
    </row>
    <row r="322" spans="1:14" ht="12.75" hidden="1" customHeight="1" x14ac:dyDescent="0.25">
      <c r="A322" s="357" t="s">
        <v>906</v>
      </c>
      <c r="B322" s="252" t="s">
        <v>130</v>
      </c>
      <c r="C322" s="252" t="s">
        <v>202</v>
      </c>
      <c r="D322" s="252" t="s">
        <v>212</v>
      </c>
      <c r="E322" s="252" t="s">
        <v>846</v>
      </c>
      <c r="F322" s="252" t="s">
        <v>905</v>
      </c>
      <c r="G322" s="256"/>
      <c r="H322" s="257">
        <v>60</v>
      </c>
      <c r="I322" s="257">
        <v>0</v>
      </c>
      <c r="J322" s="257">
        <v>0</v>
      </c>
      <c r="K322" s="257">
        <v>1.96</v>
      </c>
      <c r="L322" s="257">
        <v>0</v>
      </c>
      <c r="M322" s="257"/>
      <c r="N322" s="257">
        <v>0</v>
      </c>
    </row>
    <row r="323" spans="1:14" ht="25.5" customHeight="1" x14ac:dyDescent="0.2">
      <c r="A323" s="259" t="s">
        <v>953</v>
      </c>
      <c r="B323" s="252" t="s">
        <v>130</v>
      </c>
      <c r="C323" s="252" t="s">
        <v>202</v>
      </c>
      <c r="D323" s="252" t="s">
        <v>212</v>
      </c>
      <c r="E323" s="252" t="s">
        <v>877</v>
      </c>
      <c r="F323" s="252"/>
      <c r="G323" s="257">
        <f>G324</f>
        <v>0</v>
      </c>
      <c r="H323" s="257" t="e">
        <f>H324+H325+#REF!+#REF!</f>
        <v>#REF!</v>
      </c>
      <c r="I323" s="257" t="e">
        <f>I324+I325+#REF!+#REF!</f>
        <v>#REF!</v>
      </c>
      <c r="J323" s="257" t="e">
        <f>J324+J325+#REF!+#REF!</f>
        <v>#REF!</v>
      </c>
      <c r="K323" s="257" t="e">
        <f>K324+K325+#REF!+#REF!+K326</f>
        <v>#REF!</v>
      </c>
      <c r="L323" s="257">
        <f>L325+L326</f>
        <v>8618</v>
      </c>
      <c r="M323" s="257">
        <f t="shared" ref="M323:N323" si="190">M325+M326</f>
        <v>125.52000000000001</v>
      </c>
      <c r="N323" s="257">
        <f t="shared" si="190"/>
        <v>8743.52</v>
      </c>
    </row>
    <row r="324" spans="1:14" ht="12.75" hidden="1" customHeight="1" x14ac:dyDescent="0.25">
      <c r="A324" s="357" t="s">
        <v>95</v>
      </c>
      <c r="B324" s="252" t="s">
        <v>130</v>
      </c>
      <c r="C324" s="252" t="s">
        <v>202</v>
      </c>
      <c r="D324" s="252" t="s">
        <v>212</v>
      </c>
      <c r="E324" s="252" t="s">
        <v>847</v>
      </c>
      <c r="F324" s="252" t="s">
        <v>96</v>
      </c>
      <c r="G324" s="256"/>
      <c r="H324" s="257">
        <v>3083</v>
      </c>
      <c r="I324" s="257">
        <v>-3083</v>
      </c>
      <c r="J324" s="257">
        <f>H324+I324</f>
        <v>0</v>
      </c>
      <c r="K324" s="257">
        <v>0</v>
      </c>
      <c r="L324" s="257">
        <f>I324+J324</f>
        <v>-3083</v>
      </c>
      <c r="M324" s="257"/>
      <c r="N324" s="257">
        <f>J324+K324</f>
        <v>0</v>
      </c>
    </row>
    <row r="325" spans="1:14" ht="30" customHeight="1" x14ac:dyDescent="0.2">
      <c r="A325" s="259" t="s">
        <v>76</v>
      </c>
      <c r="B325" s="252" t="s">
        <v>130</v>
      </c>
      <c r="C325" s="252" t="s">
        <v>202</v>
      </c>
      <c r="D325" s="252" t="s">
        <v>212</v>
      </c>
      <c r="E325" s="252" t="s">
        <v>847</v>
      </c>
      <c r="F325" s="252" t="s">
        <v>77</v>
      </c>
      <c r="G325" s="256"/>
      <c r="H325" s="257">
        <v>5065</v>
      </c>
      <c r="I325" s="257">
        <v>-5065</v>
      </c>
      <c r="J325" s="257">
        <f>H325+I325</f>
        <v>0</v>
      </c>
      <c r="K325" s="257">
        <v>511.52</v>
      </c>
      <c r="L325" s="257">
        <v>4355</v>
      </c>
      <c r="M325" s="257">
        <v>-45</v>
      </c>
      <c r="N325" s="257">
        <f>L325+M325</f>
        <v>4310</v>
      </c>
    </row>
    <row r="326" spans="1:14" ht="30" customHeight="1" x14ac:dyDescent="0.2">
      <c r="A326" s="259" t="s">
        <v>76</v>
      </c>
      <c r="B326" s="252" t="s">
        <v>130</v>
      </c>
      <c r="C326" s="252" t="s">
        <v>202</v>
      </c>
      <c r="D326" s="252" t="s">
        <v>212</v>
      </c>
      <c r="E326" s="252" t="s">
        <v>876</v>
      </c>
      <c r="F326" s="252" t="s">
        <v>77</v>
      </c>
      <c r="G326" s="256"/>
      <c r="H326" s="257">
        <v>5065</v>
      </c>
      <c r="I326" s="257">
        <v>-5065</v>
      </c>
      <c r="J326" s="257">
        <f>H326+I326</f>
        <v>0</v>
      </c>
      <c r="K326" s="257">
        <v>3928.3</v>
      </c>
      <c r="L326" s="257">
        <v>4263</v>
      </c>
      <c r="M326" s="257">
        <v>170.52</v>
      </c>
      <c r="N326" s="257">
        <f>L326+M326</f>
        <v>4433.5200000000004</v>
      </c>
    </row>
    <row r="327" spans="1:14" s="19" customFormat="1" ht="15" customHeight="1" x14ac:dyDescent="0.2">
      <c r="A327" s="398" t="s">
        <v>65</v>
      </c>
      <c r="B327" s="250" t="s">
        <v>130</v>
      </c>
      <c r="C327" s="250">
        <v>10</v>
      </c>
      <c r="D327" s="250"/>
      <c r="E327" s="250"/>
      <c r="F327" s="250"/>
      <c r="G327" s="261" t="e">
        <f>#REF!+G328</f>
        <v>#REF!</v>
      </c>
      <c r="H327" s="261">
        <f t="shared" ref="H327:N329" si="191">H328</f>
        <v>1438.7</v>
      </c>
      <c r="I327" s="261">
        <f t="shared" si="191"/>
        <v>0</v>
      </c>
      <c r="J327" s="261">
        <f t="shared" si="191"/>
        <v>1438.7</v>
      </c>
      <c r="K327" s="261">
        <f t="shared" si="191"/>
        <v>0</v>
      </c>
      <c r="L327" s="261">
        <f t="shared" si="191"/>
        <v>2749.2</v>
      </c>
      <c r="M327" s="261">
        <f t="shared" si="191"/>
        <v>174.4</v>
      </c>
      <c r="N327" s="261">
        <f t="shared" si="191"/>
        <v>2923.6</v>
      </c>
    </row>
    <row r="328" spans="1:14" ht="17.25" customHeight="1" x14ac:dyDescent="0.2">
      <c r="A328" s="398" t="s">
        <v>278</v>
      </c>
      <c r="B328" s="250" t="s">
        <v>130</v>
      </c>
      <c r="C328" s="250">
        <v>10</v>
      </c>
      <c r="D328" s="250" t="s">
        <v>196</v>
      </c>
      <c r="E328" s="250"/>
      <c r="F328" s="250"/>
      <c r="G328" s="265" t="e">
        <f>#REF!+G329</f>
        <v>#REF!</v>
      </c>
      <c r="H328" s="267">
        <f t="shared" si="191"/>
        <v>1438.7</v>
      </c>
      <c r="I328" s="267">
        <f t="shared" si="191"/>
        <v>0</v>
      </c>
      <c r="J328" s="267">
        <f t="shared" si="191"/>
        <v>1438.7</v>
      </c>
      <c r="K328" s="267">
        <f t="shared" si="191"/>
        <v>0</v>
      </c>
      <c r="L328" s="267">
        <f t="shared" si="191"/>
        <v>2749.2</v>
      </c>
      <c r="M328" s="267">
        <f t="shared" si="191"/>
        <v>174.4</v>
      </c>
      <c r="N328" s="267">
        <f t="shared" si="191"/>
        <v>2923.6</v>
      </c>
    </row>
    <row r="329" spans="1:14" ht="60" x14ac:dyDescent="0.2">
      <c r="A329" s="259" t="s">
        <v>938</v>
      </c>
      <c r="B329" s="252" t="s">
        <v>130</v>
      </c>
      <c r="C329" s="252" t="s">
        <v>214</v>
      </c>
      <c r="D329" s="252" t="s">
        <v>196</v>
      </c>
      <c r="E329" s="252" t="s">
        <v>939</v>
      </c>
      <c r="F329" s="252"/>
      <c r="G329" s="256"/>
      <c r="H329" s="257">
        <f>H330</f>
        <v>1438.7</v>
      </c>
      <c r="I329" s="257">
        <f>I330</f>
        <v>0</v>
      </c>
      <c r="J329" s="257">
        <f>H329+I329</f>
        <v>1438.7</v>
      </c>
      <c r="K329" s="257">
        <f>K330</f>
        <v>0</v>
      </c>
      <c r="L329" s="257">
        <f>L330</f>
        <v>2749.2</v>
      </c>
      <c r="M329" s="257">
        <f t="shared" si="191"/>
        <v>174.4</v>
      </c>
      <c r="N329" s="257">
        <f t="shared" si="191"/>
        <v>2923.6</v>
      </c>
    </row>
    <row r="330" spans="1:14" ht="29.25" customHeight="1" x14ac:dyDescent="0.2">
      <c r="A330" s="259" t="s">
        <v>136</v>
      </c>
      <c r="B330" s="252" t="s">
        <v>130</v>
      </c>
      <c r="C330" s="252" t="s">
        <v>214</v>
      </c>
      <c r="D330" s="252" t="s">
        <v>196</v>
      </c>
      <c r="E330" s="252" t="s">
        <v>939</v>
      </c>
      <c r="F330" s="252" t="s">
        <v>137</v>
      </c>
      <c r="G330" s="256"/>
      <c r="H330" s="256">
        <v>1438.7</v>
      </c>
      <c r="I330" s="257">
        <v>0</v>
      </c>
      <c r="J330" s="257">
        <f>H330+I330</f>
        <v>1438.7</v>
      </c>
      <c r="K330" s="257">
        <v>0</v>
      </c>
      <c r="L330" s="257">
        <v>2749.2</v>
      </c>
      <c r="M330" s="257">
        <v>174.4</v>
      </c>
      <c r="N330" s="257">
        <f>L330+M330</f>
        <v>2923.6</v>
      </c>
    </row>
    <row r="331" spans="1:14" s="19" customFormat="1" ht="14.25" hidden="1" x14ac:dyDescent="0.2">
      <c r="A331" s="398" t="s">
        <v>271</v>
      </c>
      <c r="B331" s="250" t="s">
        <v>130</v>
      </c>
      <c r="C331" s="250" t="s">
        <v>204</v>
      </c>
      <c r="D331" s="250"/>
      <c r="E331" s="249"/>
      <c r="F331" s="249"/>
      <c r="G331" s="264"/>
      <c r="H331" s="264"/>
      <c r="I331" s="275" t="e">
        <f>I332</f>
        <v>#REF!</v>
      </c>
      <c r="J331" s="275" t="e">
        <f>J332</f>
        <v>#REF!</v>
      </c>
      <c r="K331" s="275" t="e">
        <f>K332</f>
        <v>#REF!</v>
      </c>
      <c r="L331" s="275" t="e">
        <f>L332</f>
        <v>#REF!</v>
      </c>
      <c r="M331" s="275"/>
      <c r="N331" s="275" t="e">
        <f>N332</f>
        <v>#REF!</v>
      </c>
    </row>
    <row r="332" spans="1:14" ht="15" hidden="1" x14ac:dyDescent="0.2">
      <c r="A332" s="398" t="s">
        <v>280</v>
      </c>
      <c r="B332" s="250" t="s">
        <v>130</v>
      </c>
      <c r="C332" s="250" t="s">
        <v>204</v>
      </c>
      <c r="D332" s="250" t="s">
        <v>190</v>
      </c>
      <c r="E332" s="249"/>
      <c r="F332" s="249"/>
      <c r="G332" s="262" t="e">
        <f>G333+#REF!</f>
        <v>#REF!</v>
      </c>
      <c r="H332" s="262"/>
      <c r="I332" s="262" t="e">
        <f>I333+#REF!</f>
        <v>#REF!</v>
      </c>
      <c r="J332" s="262" t="e">
        <f>J333+#REF!</f>
        <v>#REF!</v>
      </c>
      <c r="K332" s="262" t="e">
        <f>K333+#REF!</f>
        <v>#REF!</v>
      </c>
      <c r="L332" s="262" t="e">
        <f>L333+#REF!</f>
        <v>#REF!</v>
      </c>
      <c r="M332" s="262"/>
      <c r="N332" s="262" t="e">
        <f>N333+#REF!</f>
        <v>#REF!</v>
      </c>
    </row>
    <row r="333" spans="1:14" s="20" customFormat="1" ht="31.5" hidden="1" customHeight="1" x14ac:dyDescent="0.2">
      <c r="A333" s="259" t="s">
        <v>990</v>
      </c>
      <c r="B333" s="252" t="s">
        <v>130</v>
      </c>
      <c r="C333" s="252" t="s">
        <v>204</v>
      </c>
      <c r="D333" s="252" t="s">
        <v>190</v>
      </c>
      <c r="E333" s="271" t="s">
        <v>458</v>
      </c>
      <c r="F333" s="271"/>
      <c r="G333" s="256"/>
      <c r="H333" s="256"/>
      <c r="I333" s="257">
        <f>I334+I336</f>
        <v>-700</v>
      </c>
      <c r="J333" s="257" t="e">
        <f>J334+J336</f>
        <v>#REF!</v>
      </c>
      <c r="K333" s="257">
        <f>K334+K336</f>
        <v>-700</v>
      </c>
      <c r="L333" s="257" t="e">
        <f>L334+L336</f>
        <v>#REF!</v>
      </c>
      <c r="M333" s="257"/>
      <c r="N333" s="257" t="e">
        <f>N334+N336</f>
        <v>#REF!</v>
      </c>
    </row>
    <row r="334" spans="1:14" s="20" customFormat="1" ht="19.5" hidden="1" customHeight="1" x14ac:dyDescent="0.2">
      <c r="A334" s="259" t="s">
        <v>502</v>
      </c>
      <c r="B334" s="252" t="s">
        <v>130</v>
      </c>
      <c r="C334" s="252" t="s">
        <v>204</v>
      </c>
      <c r="D334" s="252" t="s">
        <v>190</v>
      </c>
      <c r="E334" s="271" t="s">
        <v>459</v>
      </c>
      <c r="F334" s="271"/>
      <c r="G334" s="256"/>
      <c r="H334" s="256"/>
      <c r="I334" s="257">
        <f>I335</f>
        <v>-700</v>
      </c>
      <c r="J334" s="257" t="e">
        <f>J335</f>
        <v>#REF!</v>
      </c>
      <c r="K334" s="257">
        <f>K335</f>
        <v>-700</v>
      </c>
      <c r="L334" s="257" t="e">
        <f>L335</f>
        <v>#REF!</v>
      </c>
      <c r="M334" s="257"/>
      <c r="N334" s="257" t="e">
        <f>N335</f>
        <v>#REF!</v>
      </c>
    </row>
    <row r="335" spans="1:14" s="20" customFormat="1" ht="18.75" hidden="1" customHeight="1" x14ac:dyDescent="0.2">
      <c r="A335" s="259" t="s">
        <v>93</v>
      </c>
      <c r="B335" s="252" t="s">
        <v>130</v>
      </c>
      <c r="C335" s="252" t="s">
        <v>204</v>
      </c>
      <c r="D335" s="252" t="s">
        <v>190</v>
      </c>
      <c r="E335" s="271" t="s">
        <v>459</v>
      </c>
      <c r="F335" s="271">
        <v>244</v>
      </c>
      <c r="G335" s="256"/>
      <c r="H335" s="256"/>
      <c r="I335" s="257">
        <v>-700</v>
      </c>
      <c r="J335" s="257" t="e">
        <f>#REF!+I335</f>
        <v>#REF!</v>
      </c>
      <c r="K335" s="257">
        <v>-700</v>
      </c>
      <c r="L335" s="257" t="e">
        <f>#REF!+J335</f>
        <v>#REF!</v>
      </c>
      <c r="M335" s="257"/>
      <c r="N335" s="257" t="e">
        <f>#REF!+K335</f>
        <v>#REF!</v>
      </c>
    </row>
    <row r="336" spans="1:14" s="20" customFormat="1" ht="15" hidden="1" customHeight="1" x14ac:dyDescent="0.2">
      <c r="A336" s="259" t="s">
        <v>741</v>
      </c>
      <c r="B336" s="252" t="s">
        <v>130</v>
      </c>
      <c r="C336" s="252" t="s">
        <v>204</v>
      </c>
      <c r="D336" s="252" t="s">
        <v>190</v>
      </c>
      <c r="E336" s="271" t="s">
        <v>740</v>
      </c>
      <c r="F336" s="271">
        <v>244</v>
      </c>
      <c r="G336" s="256"/>
      <c r="H336" s="256"/>
      <c r="I336" s="257">
        <v>0</v>
      </c>
      <c r="J336" s="257" t="e">
        <f>#REF!+I336</f>
        <v>#REF!</v>
      </c>
      <c r="K336" s="257">
        <v>0</v>
      </c>
      <c r="L336" s="257" t="e">
        <f>#REF!+J336</f>
        <v>#REF!</v>
      </c>
      <c r="M336" s="257"/>
      <c r="N336" s="257" t="e">
        <f>#REF!+K336</f>
        <v>#REF!</v>
      </c>
    </row>
    <row r="337" spans="1:14" ht="15" hidden="1" x14ac:dyDescent="0.2">
      <c r="A337" s="259" t="s">
        <v>404</v>
      </c>
      <c r="B337" s="252" t="s">
        <v>130</v>
      </c>
      <c r="C337" s="252" t="s">
        <v>204</v>
      </c>
      <c r="D337" s="252" t="s">
        <v>190</v>
      </c>
      <c r="E337" s="251" t="s">
        <v>62</v>
      </c>
      <c r="F337" s="252"/>
      <c r="G337" s="256"/>
      <c r="H337" s="256"/>
      <c r="I337" s="257" t="e">
        <f>#REF!</f>
        <v>#REF!</v>
      </c>
      <c r="J337" s="257" t="e">
        <f>#REF!</f>
        <v>#REF!</v>
      </c>
      <c r="K337" s="257" t="e">
        <f>#REF!</f>
        <v>#REF!</v>
      </c>
      <c r="L337" s="257" t="e">
        <f>#REF!</f>
        <v>#REF!</v>
      </c>
      <c r="M337" s="257"/>
      <c r="N337" s="257" t="e">
        <f>#REF!</f>
        <v>#REF!</v>
      </c>
    </row>
    <row r="338" spans="1:14" s="17" customFormat="1" ht="33" customHeight="1" x14ac:dyDescent="0.2">
      <c r="A338" s="531" t="s">
        <v>413</v>
      </c>
      <c r="B338" s="532"/>
      <c r="C338" s="532"/>
      <c r="D338" s="532"/>
      <c r="E338" s="532"/>
      <c r="F338" s="532"/>
      <c r="G338" s="246" t="e">
        <f>G339+G415+G408</f>
        <v>#REF!</v>
      </c>
      <c r="H338" s="246">
        <f>H339+H408+H415</f>
        <v>39525.599999999999</v>
      </c>
      <c r="I338" s="246">
        <f>I339+I415+I408</f>
        <v>2493.8900000000003</v>
      </c>
      <c r="J338" s="246" t="e">
        <f>J339+J415+J408</f>
        <v>#REF!</v>
      </c>
      <c r="K338" s="246">
        <f>K339+K415+K408</f>
        <v>4950.9319999999998</v>
      </c>
      <c r="L338" s="246">
        <f>L339+L415+L408</f>
        <v>46522.43</v>
      </c>
      <c r="M338" s="246">
        <f t="shared" ref="M338:N338" si="192">M339+M415+M408</f>
        <v>32933.870000000003</v>
      </c>
      <c r="N338" s="246">
        <f t="shared" si="192"/>
        <v>79456.3</v>
      </c>
    </row>
    <row r="339" spans="1:14" s="19" customFormat="1" ht="14.25" x14ac:dyDescent="0.2">
      <c r="A339" s="398" t="s">
        <v>72</v>
      </c>
      <c r="B339" s="250" t="s">
        <v>343</v>
      </c>
      <c r="C339" s="250" t="s">
        <v>190</v>
      </c>
      <c r="D339" s="250"/>
      <c r="E339" s="250"/>
      <c r="F339" s="250"/>
      <c r="G339" s="264"/>
      <c r="H339" s="275">
        <f t="shared" ref="H339:L339" si="193">H340+H363+H401</f>
        <v>10741</v>
      </c>
      <c r="I339" s="264">
        <f t="shared" si="193"/>
        <v>0</v>
      </c>
      <c r="J339" s="275" t="e">
        <f t="shared" si="193"/>
        <v>#REF!</v>
      </c>
      <c r="K339" s="264">
        <f t="shared" si="193"/>
        <v>1</v>
      </c>
      <c r="L339" s="275">
        <f t="shared" si="193"/>
        <v>11964.029999999999</v>
      </c>
      <c r="M339" s="275">
        <f t="shared" ref="M339:N339" si="194">M340+M363+M401</f>
        <v>30270.270000000004</v>
      </c>
      <c r="N339" s="275">
        <f t="shared" si="194"/>
        <v>42234.3</v>
      </c>
    </row>
    <row r="340" spans="1:14" s="19" customFormat="1" ht="45" customHeight="1" x14ac:dyDescent="0.2">
      <c r="A340" s="398" t="s">
        <v>195</v>
      </c>
      <c r="B340" s="250" t="s">
        <v>343</v>
      </c>
      <c r="C340" s="250" t="s">
        <v>312</v>
      </c>
      <c r="D340" s="250" t="s">
        <v>196</v>
      </c>
      <c r="E340" s="250"/>
      <c r="F340" s="250"/>
      <c r="G340" s="261">
        <f>G347+G354</f>
        <v>0</v>
      </c>
      <c r="H340" s="261">
        <f>H354</f>
        <v>2646</v>
      </c>
      <c r="I340" s="261">
        <f>I354</f>
        <v>0</v>
      </c>
      <c r="J340" s="261" t="e">
        <f>J347+J354</f>
        <v>#REF!</v>
      </c>
      <c r="K340" s="261">
        <f>K354</f>
        <v>0</v>
      </c>
      <c r="L340" s="261">
        <f>L354+L360</f>
        <v>2804</v>
      </c>
      <c r="M340" s="261">
        <f t="shared" ref="M340:N340" si="195">M354+M360</f>
        <v>-383.5</v>
      </c>
      <c r="N340" s="261">
        <f t="shared" si="195"/>
        <v>2420.5</v>
      </c>
    </row>
    <row r="341" spans="1:14" s="19" customFormat="1" ht="26.25" hidden="1" customHeight="1" x14ac:dyDescent="0.2">
      <c r="A341" s="259" t="s">
        <v>123</v>
      </c>
      <c r="B341" s="252" t="s">
        <v>343</v>
      </c>
      <c r="C341" s="271" t="s">
        <v>312</v>
      </c>
      <c r="D341" s="252" t="s">
        <v>196</v>
      </c>
      <c r="E341" s="260" t="s">
        <v>332</v>
      </c>
      <c r="F341" s="271"/>
      <c r="G341" s="264"/>
      <c r="H341" s="264"/>
      <c r="I341" s="257">
        <f>I342</f>
        <v>-2636</v>
      </c>
      <c r="J341" s="257">
        <f>J342</f>
        <v>-2636</v>
      </c>
      <c r="K341" s="257">
        <f>K342</f>
        <v>-2636</v>
      </c>
      <c r="L341" s="257">
        <f>L342</f>
        <v>-2636</v>
      </c>
      <c r="M341" s="257">
        <f t="shared" ref="M341:N341" si="196">M342</f>
        <v>-5272</v>
      </c>
      <c r="N341" s="257">
        <f t="shared" si="196"/>
        <v>-5272</v>
      </c>
    </row>
    <row r="342" spans="1:14" s="19" customFormat="1" ht="15.75" hidden="1" customHeight="1" x14ac:dyDescent="0.2">
      <c r="A342" s="259" t="s">
        <v>315</v>
      </c>
      <c r="B342" s="252" t="s">
        <v>343</v>
      </c>
      <c r="C342" s="271" t="s">
        <v>312</v>
      </c>
      <c r="D342" s="252" t="s">
        <v>196</v>
      </c>
      <c r="E342" s="260" t="s">
        <v>334</v>
      </c>
      <c r="F342" s="252"/>
      <c r="G342" s="264"/>
      <c r="H342" s="264"/>
      <c r="I342" s="257">
        <f>I343+I344+I345+I346</f>
        <v>-2636</v>
      </c>
      <c r="J342" s="257">
        <f>J343+J344+J345+J346</f>
        <v>-2636</v>
      </c>
      <c r="K342" s="257">
        <f>K343+K344+K345+K346</f>
        <v>-2636</v>
      </c>
      <c r="L342" s="257">
        <f>L343+L344+L345+L346</f>
        <v>-2636</v>
      </c>
      <c r="M342" s="257">
        <f t="shared" ref="M342:N342" si="197">M343+M344+M345+M346</f>
        <v>-5272</v>
      </c>
      <c r="N342" s="257">
        <f t="shared" si="197"/>
        <v>-5272</v>
      </c>
    </row>
    <row r="343" spans="1:14" s="19" customFormat="1" ht="15" hidden="1" x14ac:dyDescent="0.2">
      <c r="A343" s="259" t="s">
        <v>95</v>
      </c>
      <c r="B343" s="252" t="s">
        <v>343</v>
      </c>
      <c r="C343" s="271" t="s">
        <v>312</v>
      </c>
      <c r="D343" s="252" t="s">
        <v>196</v>
      </c>
      <c r="E343" s="260" t="s">
        <v>334</v>
      </c>
      <c r="F343" s="252" t="s">
        <v>96</v>
      </c>
      <c r="G343" s="264"/>
      <c r="H343" s="264"/>
      <c r="I343" s="257">
        <v>-2220</v>
      </c>
      <c r="J343" s="257">
        <f>G343+I343</f>
        <v>-2220</v>
      </c>
      <c r="K343" s="257">
        <v>-2220</v>
      </c>
      <c r="L343" s="257">
        <f t="shared" ref="L343:L346" si="198">H343+J343</f>
        <v>-2220</v>
      </c>
      <c r="M343" s="257">
        <f t="shared" ref="M343:M346" si="199">I343+K343</f>
        <v>-4440</v>
      </c>
      <c r="N343" s="257">
        <f t="shared" ref="N343:N346" si="200">J343+L343</f>
        <v>-4440</v>
      </c>
    </row>
    <row r="344" spans="1:14" s="19" customFormat="1" ht="16.5" hidden="1" customHeight="1" x14ac:dyDescent="0.2">
      <c r="A344" s="259" t="s">
        <v>97</v>
      </c>
      <c r="B344" s="252" t="s">
        <v>343</v>
      </c>
      <c r="C344" s="271" t="s">
        <v>312</v>
      </c>
      <c r="D344" s="252" t="s">
        <v>196</v>
      </c>
      <c r="E344" s="260" t="s">
        <v>334</v>
      </c>
      <c r="F344" s="252" t="s">
        <v>98</v>
      </c>
      <c r="G344" s="264"/>
      <c r="H344" s="264"/>
      <c r="I344" s="257">
        <v>-101</v>
      </c>
      <c r="J344" s="257">
        <f>G344+I344</f>
        <v>-101</v>
      </c>
      <c r="K344" s="257">
        <v>-101</v>
      </c>
      <c r="L344" s="257">
        <f t="shared" si="198"/>
        <v>-101</v>
      </c>
      <c r="M344" s="257">
        <f t="shared" si="199"/>
        <v>-202</v>
      </c>
      <c r="N344" s="257">
        <f t="shared" si="200"/>
        <v>-202</v>
      </c>
    </row>
    <row r="345" spans="1:14" s="19" customFormat="1" ht="15" hidden="1" customHeight="1" x14ac:dyDescent="0.2">
      <c r="A345" s="259" t="s">
        <v>99</v>
      </c>
      <c r="B345" s="252" t="s">
        <v>343</v>
      </c>
      <c r="C345" s="271" t="s">
        <v>312</v>
      </c>
      <c r="D345" s="252" t="s">
        <v>196</v>
      </c>
      <c r="E345" s="260" t="s">
        <v>334</v>
      </c>
      <c r="F345" s="252" t="s">
        <v>100</v>
      </c>
      <c r="G345" s="264"/>
      <c r="H345" s="264"/>
      <c r="I345" s="257">
        <v>-295</v>
      </c>
      <c r="J345" s="257">
        <f>G345+I345</f>
        <v>-295</v>
      </c>
      <c r="K345" s="257">
        <v>-295</v>
      </c>
      <c r="L345" s="257">
        <f t="shared" si="198"/>
        <v>-295</v>
      </c>
      <c r="M345" s="257">
        <f t="shared" si="199"/>
        <v>-590</v>
      </c>
      <c r="N345" s="257">
        <f t="shared" si="200"/>
        <v>-590</v>
      </c>
    </row>
    <row r="346" spans="1:14" s="19" customFormat="1" ht="18.75" hidden="1" customHeight="1" x14ac:dyDescent="0.2">
      <c r="A346" s="259" t="s">
        <v>93</v>
      </c>
      <c r="B346" s="252" t="s">
        <v>343</v>
      </c>
      <c r="C346" s="271" t="s">
        <v>312</v>
      </c>
      <c r="D346" s="252" t="s">
        <v>196</v>
      </c>
      <c r="E346" s="260" t="s">
        <v>334</v>
      </c>
      <c r="F346" s="252" t="s">
        <v>94</v>
      </c>
      <c r="G346" s="264"/>
      <c r="H346" s="264"/>
      <c r="I346" s="257">
        <v>-20</v>
      </c>
      <c r="J346" s="257">
        <f>G346+I346</f>
        <v>-20</v>
      </c>
      <c r="K346" s="257">
        <v>-20</v>
      </c>
      <c r="L346" s="257">
        <f t="shared" si="198"/>
        <v>-20</v>
      </c>
      <c r="M346" s="257">
        <f t="shared" si="199"/>
        <v>-40</v>
      </c>
      <c r="N346" s="257">
        <f t="shared" si="200"/>
        <v>-40</v>
      </c>
    </row>
    <row r="347" spans="1:14" s="19" customFormat="1" ht="16.5" hidden="1" customHeight="1" x14ac:dyDescent="0.2">
      <c r="A347" s="259" t="s">
        <v>973</v>
      </c>
      <c r="B347" s="252" t="s">
        <v>343</v>
      </c>
      <c r="C347" s="271" t="s">
        <v>312</v>
      </c>
      <c r="D347" s="252" t="s">
        <v>196</v>
      </c>
      <c r="E347" s="260" t="s">
        <v>462</v>
      </c>
      <c r="F347" s="271"/>
      <c r="G347" s="264"/>
      <c r="H347" s="264"/>
      <c r="I347" s="257">
        <f t="shared" ref="I347:N348" si="201">I348</f>
        <v>-2293.8000000000002</v>
      </c>
      <c r="J347" s="257" t="e">
        <f t="shared" si="201"/>
        <v>#REF!</v>
      </c>
      <c r="K347" s="257">
        <f t="shared" si="201"/>
        <v>-2293.8000000000002</v>
      </c>
      <c r="L347" s="257" t="e">
        <f t="shared" si="201"/>
        <v>#REF!</v>
      </c>
      <c r="M347" s="257" t="e">
        <f t="shared" si="201"/>
        <v>#REF!</v>
      </c>
      <c r="N347" s="257" t="e">
        <f t="shared" si="201"/>
        <v>#REF!</v>
      </c>
    </row>
    <row r="348" spans="1:14" s="19" customFormat="1" ht="27" hidden="1" customHeight="1" x14ac:dyDescent="0.2">
      <c r="A348" s="259" t="s">
        <v>991</v>
      </c>
      <c r="B348" s="252" t="s">
        <v>343</v>
      </c>
      <c r="C348" s="271" t="s">
        <v>312</v>
      </c>
      <c r="D348" s="252" t="s">
        <v>196</v>
      </c>
      <c r="E348" s="260" t="s">
        <v>463</v>
      </c>
      <c r="F348" s="252"/>
      <c r="G348" s="264"/>
      <c r="H348" s="264"/>
      <c r="I348" s="257">
        <f t="shared" si="201"/>
        <v>-2293.8000000000002</v>
      </c>
      <c r="J348" s="257" t="e">
        <f t="shared" si="201"/>
        <v>#REF!</v>
      </c>
      <c r="K348" s="257">
        <f t="shared" si="201"/>
        <v>-2293.8000000000002</v>
      </c>
      <c r="L348" s="257" t="e">
        <f t="shared" si="201"/>
        <v>#REF!</v>
      </c>
      <c r="M348" s="257" t="e">
        <f t="shared" si="201"/>
        <v>#REF!</v>
      </c>
      <c r="N348" s="257" t="e">
        <f t="shared" si="201"/>
        <v>#REF!</v>
      </c>
    </row>
    <row r="349" spans="1:14" s="19" customFormat="1" ht="27.75" hidden="1" customHeight="1" x14ac:dyDescent="0.2">
      <c r="A349" s="259" t="s">
        <v>992</v>
      </c>
      <c r="B349" s="252" t="s">
        <v>343</v>
      </c>
      <c r="C349" s="271" t="s">
        <v>312</v>
      </c>
      <c r="D349" s="252" t="s">
        <v>196</v>
      </c>
      <c r="E349" s="260" t="s">
        <v>484</v>
      </c>
      <c r="F349" s="252"/>
      <c r="G349" s="264"/>
      <c r="H349" s="264"/>
      <c r="I349" s="257">
        <f>I350+I351+I352+I353</f>
        <v>-2293.8000000000002</v>
      </c>
      <c r="J349" s="257" t="e">
        <f>J350+J351+J352+J353</f>
        <v>#REF!</v>
      </c>
      <c r="K349" s="257">
        <f>K350+K351+K352+K353</f>
        <v>-2293.8000000000002</v>
      </c>
      <c r="L349" s="257" t="e">
        <f>L350+L351+L352+L353</f>
        <v>#REF!</v>
      </c>
      <c r="M349" s="257" t="e">
        <f t="shared" ref="M349:N349" si="202">M350+M351+M352+M353</f>
        <v>#REF!</v>
      </c>
      <c r="N349" s="257" t="e">
        <f t="shared" si="202"/>
        <v>#REF!</v>
      </c>
    </row>
    <row r="350" spans="1:14" s="19" customFormat="1" ht="17.25" hidden="1" customHeight="1" x14ac:dyDescent="0.2">
      <c r="A350" s="259" t="s">
        <v>95</v>
      </c>
      <c r="B350" s="252" t="s">
        <v>343</v>
      </c>
      <c r="C350" s="271" t="s">
        <v>312</v>
      </c>
      <c r="D350" s="252" t="s">
        <v>196</v>
      </c>
      <c r="E350" s="260" t="s">
        <v>484</v>
      </c>
      <c r="F350" s="252" t="s">
        <v>96</v>
      </c>
      <c r="G350" s="264"/>
      <c r="H350" s="264"/>
      <c r="I350" s="257">
        <v>-1977.8</v>
      </c>
      <c r="J350" s="257" t="e">
        <f>#REF!+I350</f>
        <v>#REF!</v>
      </c>
      <c r="K350" s="257">
        <v>-1977.8</v>
      </c>
      <c r="L350" s="257" t="e">
        <f>#REF!+J350</f>
        <v>#REF!</v>
      </c>
      <c r="M350" s="257" t="e">
        <f>#REF!+K350</f>
        <v>#REF!</v>
      </c>
      <c r="N350" s="257" t="e">
        <f>#REF!+L350</f>
        <v>#REF!</v>
      </c>
    </row>
    <row r="351" spans="1:14" s="19" customFormat="1" ht="18.75" hidden="1" customHeight="1" x14ac:dyDescent="0.2">
      <c r="A351" s="259" t="s">
        <v>97</v>
      </c>
      <c r="B351" s="252" t="s">
        <v>343</v>
      </c>
      <c r="C351" s="271" t="s">
        <v>312</v>
      </c>
      <c r="D351" s="252" t="s">
        <v>196</v>
      </c>
      <c r="E351" s="260" t="s">
        <v>484</v>
      </c>
      <c r="F351" s="252" t="s">
        <v>98</v>
      </c>
      <c r="G351" s="264"/>
      <c r="H351" s="264"/>
      <c r="I351" s="257">
        <v>-101</v>
      </c>
      <c r="J351" s="257" t="e">
        <f>#REF!+I351</f>
        <v>#REF!</v>
      </c>
      <c r="K351" s="257">
        <v>-101</v>
      </c>
      <c r="L351" s="257" t="e">
        <f>#REF!+J351</f>
        <v>#REF!</v>
      </c>
      <c r="M351" s="257" t="e">
        <f>#REF!+K351</f>
        <v>#REF!</v>
      </c>
      <c r="N351" s="257" t="e">
        <f>#REF!+L351</f>
        <v>#REF!</v>
      </c>
    </row>
    <row r="352" spans="1:14" s="19" customFormat="1" ht="16.5" hidden="1" customHeight="1" x14ac:dyDescent="0.2">
      <c r="A352" s="259" t="s">
        <v>99</v>
      </c>
      <c r="B352" s="252" t="s">
        <v>343</v>
      </c>
      <c r="C352" s="271" t="s">
        <v>312</v>
      </c>
      <c r="D352" s="252" t="s">
        <v>196</v>
      </c>
      <c r="E352" s="260" t="s">
        <v>484</v>
      </c>
      <c r="F352" s="252" t="s">
        <v>100</v>
      </c>
      <c r="G352" s="264"/>
      <c r="H352" s="264"/>
      <c r="I352" s="257">
        <v>-95</v>
      </c>
      <c r="J352" s="257" t="e">
        <f>#REF!+I352</f>
        <v>#REF!</v>
      </c>
      <c r="K352" s="257">
        <v>-95</v>
      </c>
      <c r="L352" s="257" t="e">
        <f>#REF!+J352</f>
        <v>#REF!</v>
      </c>
      <c r="M352" s="257" t="e">
        <f>#REF!+K352</f>
        <v>#REF!</v>
      </c>
      <c r="N352" s="257" t="e">
        <f>#REF!+L352</f>
        <v>#REF!</v>
      </c>
    </row>
    <row r="353" spans="1:14" s="19" customFormat="1" ht="15" hidden="1" customHeight="1" x14ac:dyDescent="0.2">
      <c r="A353" s="259" t="s">
        <v>93</v>
      </c>
      <c r="B353" s="252" t="s">
        <v>343</v>
      </c>
      <c r="C353" s="271" t="s">
        <v>312</v>
      </c>
      <c r="D353" s="252" t="s">
        <v>196</v>
      </c>
      <c r="E353" s="260" t="s">
        <v>484</v>
      </c>
      <c r="F353" s="252" t="s">
        <v>94</v>
      </c>
      <c r="G353" s="264"/>
      <c r="H353" s="264"/>
      <c r="I353" s="257">
        <v>-120</v>
      </c>
      <c r="J353" s="257" t="e">
        <f>#REF!+I353</f>
        <v>#REF!</v>
      </c>
      <c r="K353" s="257">
        <v>-120</v>
      </c>
      <c r="L353" s="257" t="e">
        <f>#REF!+J353</f>
        <v>#REF!</v>
      </c>
      <c r="M353" s="257" t="e">
        <f>#REF!+K353</f>
        <v>#REF!</v>
      </c>
      <c r="N353" s="257" t="e">
        <f>#REF!+L353</f>
        <v>#REF!</v>
      </c>
    </row>
    <row r="354" spans="1:14" s="19" customFormat="1" ht="27.75" customHeight="1" x14ac:dyDescent="0.2">
      <c r="A354" s="259" t="s">
        <v>992</v>
      </c>
      <c r="B354" s="252" t="s">
        <v>343</v>
      </c>
      <c r="C354" s="271" t="s">
        <v>312</v>
      </c>
      <c r="D354" s="252" t="s">
        <v>196</v>
      </c>
      <c r="E354" s="260" t="s">
        <v>1022</v>
      </c>
      <c r="F354" s="252"/>
      <c r="G354" s="262">
        <f>G355+G357+G358+G359</f>
        <v>0</v>
      </c>
      <c r="H354" s="262">
        <f>H355+H357+H358+H359+H356</f>
        <v>2646</v>
      </c>
      <c r="I354" s="262">
        <f>I355+I357+I358+I359+I356</f>
        <v>0</v>
      </c>
      <c r="J354" s="262">
        <f>J355+J357+J358+J359+J356</f>
        <v>2646</v>
      </c>
      <c r="K354" s="262">
        <f>K355+K357+K358+K359+K356</f>
        <v>0</v>
      </c>
      <c r="L354" s="262">
        <f>L355+L356+L357+L358+L359</f>
        <v>2804</v>
      </c>
      <c r="M354" s="262">
        <f t="shared" ref="M354:N354" si="203">M355+M356+M357+M358+M359</f>
        <v>-462</v>
      </c>
      <c r="N354" s="262">
        <f t="shared" si="203"/>
        <v>2342</v>
      </c>
    </row>
    <row r="355" spans="1:14" s="19" customFormat="1" ht="15" customHeight="1" x14ac:dyDescent="0.2">
      <c r="A355" s="259" t="s">
        <v>95</v>
      </c>
      <c r="B355" s="252" t="s">
        <v>343</v>
      </c>
      <c r="C355" s="271" t="s">
        <v>312</v>
      </c>
      <c r="D355" s="252" t="s">
        <v>196</v>
      </c>
      <c r="E355" s="260" t="s">
        <v>1022</v>
      </c>
      <c r="F355" s="252" t="s">
        <v>96</v>
      </c>
      <c r="G355" s="264"/>
      <c r="H355" s="257">
        <v>2300</v>
      </c>
      <c r="I355" s="257">
        <v>-550</v>
      </c>
      <c r="J355" s="257">
        <f>H355+I355</f>
        <v>1750</v>
      </c>
      <c r="K355" s="257">
        <v>0</v>
      </c>
      <c r="L355" s="257">
        <v>1900</v>
      </c>
      <c r="M355" s="257">
        <v>-140</v>
      </c>
      <c r="N355" s="257">
        <f>L355+M355</f>
        <v>1760</v>
      </c>
    </row>
    <row r="356" spans="1:14" s="19" customFormat="1" ht="35.25" customHeight="1" x14ac:dyDescent="0.2">
      <c r="A356" s="394" t="s">
        <v>898</v>
      </c>
      <c r="B356" s="382" t="s">
        <v>343</v>
      </c>
      <c r="C356" s="382" t="s">
        <v>190</v>
      </c>
      <c r="D356" s="382" t="s">
        <v>196</v>
      </c>
      <c r="E356" s="260" t="s">
        <v>1022</v>
      </c>
      <c r="F356" s="395" t="s">
        <v>896</v>
      </c>
      <c r="G356" s="264"/>
      <c r="H356" s="257"/>
      <c r="I356" s="257">
        <v>550</v>
      </c>
      <c r="J356" s="257">
        <f>H356+I356</f>
        <v>550</v>
      </c>
      <c r="K356" s="257">
        <v>0</v>
      </c>
      <c r="L356" s="257">
        <v>574</v>
      </c>
      <c r="M356" s="257">
        <v>-42</v>
      </c>
      <c r="N356" s="257">
        <f t="shared" ref="N356:N359" si="204">L356+M356</f>
        <v>532</v>
      </c>
    </row>
    <row r="357" spans="1:14" s="19" customFormat="1" ht="15" customHeight="1" x14ac:dyDescent="0.2">
      <c r="A357" s="259" t="s">
        <v>97</v>
      </c>
      <c r="B357" s="252" t="s">
        <v>343</v>
      </c>
      <c r="C357" s="271" t="s">
        <v>312</v>
      </c>
      <c r="D357" s="252" t="s">
        <v>196</v>
      </c>
      <c r="E357" s="260" t="s">
        <v>1022</v>
      </c>
      <c r="F357" s="252" t="s">
        <v>98</v>
      </c>
      <c r="G357" s="264"/>
      <c r="H357" s="257">
        <v>101</v>
      </c>
      <c r="I357" s="257">
        <v>0</v>
      </c>
      <c r="J357" s="257">
        <f>H357+I357</f>
        <v>101</v>
      </c>
      <c r="K357" s="257">
        <v>0</v>
      </c>
      <c r="L357" s="257">
        <v>80</v>
      </c>
      <c r="M357" s="257">
        <v>-80</v>
      </c>
      <c r="N357" s="257">
        <f t="shared" si="204"/>
        <v>0</v>
      </c>
    </row>
    <row r="358" spans="1:14" s="19" customFormat="1" ht="19.5" customHeight="1" x14ac:dyDescent="0.2">
      <c r="A358" s="259" t="s">
        <v>99</v>
      </c>
      <c r="B358" s="252" t="s">
        <v>343</v>
      </c>
      <c r="C358" s="271" t="s">
        <v>312</v>
      </c>
      <c r="D358" s="252" t="s">
        <v>196</v>
      </c>
      <c r="E358" s="260" t="s">
        <v>1022</v>
      </c>
      <c r="F358" s="252" t="s">
        <v>100</v>
      </c>
      <c r="G358" s="264"/>
      <c r="H358" s="257">
        <v>95</v>
      </c>
      <c r="I358" s="257">
        <v>0</v>
      </c>
      <c r="J358" s="257">
        <f>H358+I358</f>
        <v>95</v>
      </c>
      <c r="K358" s="257">
        <v>0</v>
      </c>
      <c r="L358" s="257">
        <v>100</v>
      </c>
      <c r="M358" s="257">
        <v>-100</v>
      </c>
      <c r="N358" s="257">
        <f t="shared" si="204"/>
        <v>0</v>
      </c>
    </row>
    <row r="359" spans="1:14" s="19" customFormat="1" ht="20.25" customHeight="1" x14ac:dyDescent="0.25">
      <c r="A359" s="259" t="s">
        <v>93</v>
      </c>
      <c r="B359" s="363" t="s">
        <v>343</v>
      </c>
      <c r="C359" s="364" t="s">
        <v>312</v>
      </c>
      <c r="D359" s="363" t="s">
        <v>196</v>
      </c>
      <c r="E359" s="260" t="s">
        <v>1022</v>
      </c>
      <c r="F359" s="363" t="s">
        <v>94</v>
      </c>
      <c r="G359" s="264"/>
      <c r="H359" s="257">
        <v>150</v>
      </c>
      <c r="I359" s="257">
        <v>0</v>
      </c>
      <c r="J359" s="257">
        <f>H359+I359</f>
        <v>150</v>
      </c>
      <c r="K359" s="257">
        <v>0</v>
      </c>
      <c r="L359" s="257">
        <v>150</v>
      </c>
      <c r="M359" s="257">
        <v>-100</v>
      </c>
      <c r="N359" s="257">
        <f t="shared" si="204"/>
        <v>50</v>
      </c>
    </row>
    <row r="360" spans="1:14" s="19" customFormat="1" ht="37.5" customHeight="1" x14ac:dyDescent="0.25">
      <c r="A360" s="259" t="s">
        <v>787</v>
      </c>
      <c r="B360" s="363" t="s">
        <v>343</v>
      </c>
      <c r="C360" s="271" t="s">
        <v>312</v>
      </c>
      <c r="D360" s="252" t="s">
        <v>196</v>
      </c>
      <c r="E360" s="260" t="s">
        <v>788</v>
      </c>
      <c r="F360" s="252"/>
      <c r="G360" s="256"/>
      <c r="H360" s="257">
        <f t="shared" ref="H360:N360" si="205">H361+H362</f>
        <v>0</v>
      </c>
      <c r="I360" s="257">
        <f t="shared" si="205"/>
        <v>80.099999999999994</v>
      </c>
      <c r="J360" s="257">
        <f t="shared" si="205"/>
        <v>80.099999999999994</v>
      </c>
      <c r="K360" s="257">
        <f t="shared" si="205"/>
        <v>0</v>
      </c>
      <c r="L360" s="257">
        <f t="shared" si="205"/>
        <v>0</v>
      </c>
      <c r="M360" s="257">
        <f t="shared" si="205"/>
        <v>78.5</v>
      </c>
      <c r="N360" s="257">
        <f t="shared" si="205"/>
        <v>78.5</v>
      </c>
    </row>
    <row r="361" spans="1:14" s="19" customFormat="1" ht="20.25" customHeight="1" x14ac:dyDescent="0.25">
      <c r="A361" s="381" t="s">
        <v>907</v>
      </c>
      <c r="B361" s="363" t="s">
        <v>343</v>
      </c>
      <c r="C361" s="271" t="s">
        <v>312</v>
      </c>
      <c r="D361" s="252" t="s">
        <v>196</v>
      </c>
      <c r="E361" s="260" t="s">
        <v>788</v>
      </c>
      <c r="F361" s="252" t="s">
        <v>96</v>
      </c>
      <c r="G361" s="256"/>
      <c r="H361" s="257">
        <v>0</v>
      </c>
      <c r="I361" s="257">
        <v>61.4</v>
      </c>
      <c r="J361" s="257">
        <f>H361+I361</f>
        <v>61.4</v>
      </c>
      <c r="K361" s="257">
        <v>0.04</v>
      </c>
      <c r="L361" s="257">
        <v>0</v>
      </c>
      <c r="M361" s="257">
        <v>60.3</v>
      </c>
      <c r="N361" s="257">
        <f>L361+M361</f>
        <v>60.3</v>
      </c>
    </row>
    <row r="362" spans="1:14" s="19" customFormat="1" ht="36" customHeight="1" x14ac:dyDescent="0.25">
      <c r="A362" s="361" t="s">
        <v>898</v>
      </c>
      <c r="B362" s="363" t="s">
        <v>343</v>
      </c>
      <c r="C362" s="271" t="s">
        <v>312</v>
      </c>
      <c r="D362" s="252" t="s">
        <v>196</v>
      </c>
      <c r="E362" s="260" t="s">
        <v>788</v>
      </c>
      <c r="F362" s="252" t="s">
        <v>896</v>
      </c>
      <c r="G362" s="256"/>
      <c r="H362" s="257">
        <v>0</v>
      </c>
      <c r="I362" s="257">
        <v>18.7</v>
      </c>
      <c r="J362" s="257">
        <f>H362+I362</f>
        <v>18.7</v>
      </c>
      <c r="K362" s="257">
        <v>-0.04</v>
      </c>
      <c r="L362" s="257">
        <v>0</v>
      </c>
      <c r="M362" s="257">
        <v>18.2</v>
      </c>
      <c r="N362" s="257">
        <f>L362+M362</f>
        <v>18.2</v>
      </c>
    </row>
    <row r="363" spans="1:14" ht="31.5" customHeight="1" x14ac:dyDescent="0.2">
      <c r="A363" s="398" t="s">
        <v>199</v>
      </c>
      <c r="B363" s="250" t="s">
        <v>343</v>
      </c>
      <c r="C363" s="250" t="s">
        <v>190</v>
      </c>
      <c r="D363" s="250" t="s">
        <v>200</v>
      </c>
      <c r="E363" s="250"/>
      <c r="F363" s="250"/>
      <c r="G363" s="275">
        <f>G383+G392</f>
        <v>0</v>
      </c>
      <c r="H363" s="275">
        <f>H392</f>
        <v>5345</v>
      </c>
      <c r="I363" s="275">
        <f>I392</f>
        <v>0</v>
      </c>
      <c r="J363" s="275">
        <f>J392</f>
        <v>5345</v>
      </c>
      <c r="K363" s="275">
        <f>K392</f>
        <v>-199</v>
      </c>
      <c r="L363" s="275">
        <f>L393+L394+L395+L396+L397+L398+L399+L400</f>
        <v>5920</v>
      </c>
      <c r="M363" s="275">
        <f t="shared" ref="M363:N363" si="206">M393+M394+M395+M396+M397+M398+M399+M400</f>
        <v>-510</v>
      </c>
      <c r="N363" s="275">
        <f t="shared" si="206"/>
        <v>5410</v>
      </c>
    </row>
    <row r="364" spans="1:14" ht="30.75" hidden="1" customHeight="1" x14ac:dyDescent="0.2">
      <c r="A364" s="259" t="s">
        <v>123</v>
      </c>
      <c r="B364" s="252" t="s">
        <v>343</v>
      </c>
      <c r="C364" s="252" t="s">
        <v>190</v>
      </c>
      <c r="D364" s="252" t="s">
        <v>200</v>
      </c>
      <c r="E364" s="260" t="s">
        <v>332</v>
      </c>
      <c r="F364" s="252"/>
      <c r="G364" s="256"/>
      <c r="H364" s="256"/>
      <c r="I364" s="257">
        <f>I365</f>
        <v>-4855</v>
      </c>
      <c r="J364" s="257">
        <f>J365</f>
        <v>-4855</v>
      </c>
      <c r="K364" s="257">
        <f>K365</f>
        <v>-4855</v>
      </c>
      <c r="L364" s="257">
        <f>L365</f>
        <v>-4855</v>
      </c>
      <c r="M364" s="257">
        <f t="shared" ref="M364:N364" si="207">M365</f>
        <v>-9710</v>
      </c>
      <c r="N364" s="257">
        <f t="shared" si="207"/>
        <v>-9710</v>
      </c>
    </row>
    <row r="365" spans="1:14" ht="15" hidden="1" x14ac:dyDescent="0.2">
      <c r="A365" s="259" t="s">
        <v>333</v>
      </c>
      <c r="B365" s="252" t="s">
        <v>343</v>
      </c>
      <c r="C365" s="252" t="s">
        <v>190</v>
      </c>
      <c r="D365" s="252" t="s">
        <v>200</v>
      </c>
      <c r="E365" s="260" t="s">
        <v>334</v>
      </c>
      <c r="F365" s="252"/>
      <c r="G365" s="256"/>
      <c r="H365" s="256"/>
      <c r="I365" s="257">
        <f>I366+I367+I370+I371+I382</f>
        <v>-4855</v>
      </c>
      <c r="J365" s="257">
        <f>J366+J367+J370+J371+J382</f>
        <v>-4855</v>
      </c>
      <c r="K365" s="257">
        <f>K366+K367+K370+K371+K382</f>
        <v>-4855</v>
      </c>
      <c r="L365" s="257">
        <f>L366+L367+L370+L371+L382</f>
        <v>-4855</v>
      </c>
      <c r="M365" s="257">
        <f t="shared" ref="M365:N365" si="208">M366+M367+M370+M371+M382</f>
        <v>-9710</v>
      </c>
      <c r="N365" s="257">
        <f t="shared" si="208"/>
        <v>-9710</v>
      </c>
    </row>
    <row r="366" spans="1:14" ht="15" hidden="1" x14ac:dyDescent="0.2">
      <c r="A366" s="259" t="s">
        <v>95</v>
      </c>
      <c r="B366" s="252" t="s">
        <v>343</v>
      </c>
      <c r="C366" s="252" t="s">
        <v>190</v>
      </c>
      <c r="D366" s="252" t="s">
        <v>200</v>
      </c>
      <c r="E366" s="260" t="s">
        <v>334</v>
      </c>
      <c r="F366" s="252" t="s">
        <v>96</v>
      </c>
      <c r="G366" s="256"/>
      <c r="H366" s="256"/>
      <c r="I366" s="257">
        <v>-4000</v>
      </c>
      <c r="J366" s="257">
        <f t="shared" ref="J366:J382" si="209">G366+I366</f>
        <v>-4000</v>
      </c>
      <c r="K366" s="257">
        <v>-4000</v>
      </c>
      <c r="L366" s="257">
        <f t="shared" ref="L366:L382" si="210">H366+J366</f>
        <v>-4000</v>
      </c>
      <c r="M366" s="257">
        <f t="shared" ref="M366:M382" si="211">I366+K366</f>
        <v>-8000</v>
      </c>
      <c r="N366" s="257">
        <f t="shared" ref="N366:N382" si="212">J366+L366</f>
        <v>-8000</v>
      </c>
    </row>
    <row r="367" spans="1:14" ht="15" hidden="1" x14ac:dyDescent="0.2">
      <c r="A367" s="259" t="s">
        <v>97</v>
      </c>
      <c r="B367" s="252" t="s">
        <v>343</v>
      </c>
      <c r="C367" s="252" t="s">
        <v>190</v>
      </c>
      <c r="D367" s="252" t="s">
        <v>200</v>
      </c>
      <c r="E367" s="260" t="s">
        <v>334</v>
      </c>
      <c r="F367" s="252" t="s">
        <v>98</v>
      </c>
      <c r="G367" s="256"/>
      <c r="H367" s="256"/>
      <c r="I367" s="257">
        <v>-98</v>
      </c>
      <c r="J367" s="257">
        <f t="shared" si="209"/>
        <v>-98</v>
      </c>
      <c r="K367" s="257">
        <v>-98</v>
      </c>
      <c r="L367" s="257">
        <f t="shared" si="210"/>
        <v>-98</v>
      </c>
      <c r="M367" s="257">
        <f t="shared" si="211"/>
        <v>-196</v>
      </c>
      <c r="N367" s="257">
        <f t="shared" si="212"/>
        <v>-196</v>
      </c>
    </row>
    <row r="368" spans="1:14" ht="25.5" hidden="1" customHeight="1" x14ac:dyDescent="0.2">
      <c r="A368" s="259" t="s">
        <v>99</v>
      </c>
      <c r="B368" s="252" t="s">
        <v>343</v>
      </c>
      <c r="C368" s="252" t="s">
        <v>190</v>
      </c>
      <c r="D368" s="252" t="s">
        <v>200</v>
      </c>
      <c r="E368" s="260" t="s">
        <v>334</v>
      </c>
      <c r="F368" s="252" t="s">
        <v>100</v>
      </c>
      <c r="G368" s="256"/>
      <c r="H368" s="256"/>
      <c r="I368" s="257" t="e">
        <f>#REF!+G368</f>
        <v>#REF!</v>
      </c>
      <c r="J368" s="257" t="e">
        <f t="shared" si="209"/>
        <v>#REF!</v>
      </c>
      <c r="K368" s="257" t="e">
        <f>H368+I368</f>
        <v>#REF!</v>
      </c>
      <c r="L368" s="257" t="e">
        <f t="shared" si="210"/>
        <v>#REF!</v>
      </c>
      <c r="M368" s="257" t="e">
        <f t="shared" si="211"/>
        <v>#REF!</v>
      </c>
      <c r="N368" s="257" t="e">
        <f t="shared" si="212"/>
        <v>#REF!</v>
      </c>
    </row>
    <row r="369" spans="1:14" ht="25.5" hidden="1" customHeight="1" x14ac:dyDescent="0.2">
      <c r="A369" s="259" t="s">
        <v>101</v>
      </c>
      <c r="B369" s="252" t="s">
        <v>343</v>
      </c>
      <c r="C369" s="252" t="s">
        <v>190</v>
      </c>
      <c r="D369" s="252" t="s">
        <v>200</v>
      </c>
      <c r="E369" s="260" t="s">
        <v>334</v>
      </c>
      <c r="F369" s="252" t="s">
        <v>102</v>
      </c>
      <c r="G369" s="256"/>
      <c r="H369" s="256"/>
      <c r="I369" s="257" t="e">
        <f>#REF!+G369</f>
        <v>#REF!</v>
      </c>
      <c r="J369" s="257" t="e">
        <f t="shared" si="209"/>
        <v>#REF!</v>
      </c>
      <c r="K369" s="257" t="e">
        <f>H369+I369</f>
        <v>#REF!</v>
      </c>
      <c r="L369" s="257" t="e">
        <f t="shared" si="210"/>
        <v>#REF!</v>
      </c>
      <c r="M369" s="257" t="e">
        <f t="shared" si="211"/>
        <v>#REF!</v>
      </c>
      <c r="N369" s="257" t="e">
        <f t="shared" si="212"/>
        <v>#REF!</v>
      </c>
    </row>
    <row r="370" spans="1:14" ht="15.75" hidden="1" customHeight="1" x14ac:dyDescent="0.25">
      <c r="A370" s="357" t="s">
        <v>99</v>
      </c>
      <c r="B370" s="252" t="s">
        <v>343</v>
      </c>
      <c r="C370" s="252" t="s">
        <v>190</v>
      </c>
      <c r="D370" s="252" t="s">
        <v>200</v>
      </c>
      <c r="E370" s="260" t="s">
        <v>334</v>
      </c>
      <c r="F370" s="252" t="s">
        <v>100</v>
      </c>
      <c r="G370" s="256"/>
      <c r="H370" s="256"/>
      <c r="I370" s="257">
        <v>-340</v>
      </c>
      <c r="J370" s="257">
        <f t="shared" si="209"/>
        <v>-340</v>
      </c>
      <c r="K370" s="257">
        <v>-340</v>
      </c>
      <c r="L370" s="257">
        <f t="shared" si="210"/>
        <v>-340</v>
      </c>
      <c r="M370" s="257">
        <f t="shared" si="211"/>
        <v>-680</v>
      </c>
      <c r="N370" s="257">
        <f t="shared" si="212"/>
        <v>-680</v>
      </c>
    </row>
    <row r="371" spans="1:14" ht="18" hidden="1" customHeight="1" x14ac:dyDescent="0.2">
      <c r="A371" s="259" t="s">
        <v>93</v>
      </c>
      <c r="B371" s="252" t="s">
        <v>343</v>
      </c>
      <c r="C371" s="252" t="s">
        <v>190</v>
      </c>
      <c r="D371" s="252" t="s">
        <v>200</v>
      </c>
      <c r="E371" s="260" t="s">
        <v>334</v>
      </c>
      <c r="F371" s="252" t="s">
        <v>94</v>
      </c>
      <c r="G371" s="256"/>
      <c r="H371" s="256"/>
      <c r="I371" s="257">
        <v>-347</v>
      </c>
      <c r="J371" s="257">
        <f t="shared" si="209"/>
        <v>-347</v>
      </c>
      <c r="K371" s="257">
        <v>-347</v>
      </c>
      <c r="L371" s="257">
        <f t="shared" si="210"/>
        <v>-347</v>
      </c>
      <c r="M371" s="257">
        <f t="shared" si="211"/>
        <v>-694</v>
      </c>
      <c r="N371" s="257">
        <f t="shared" si="212"/>
        <v>-694</v>
      </c>
    </row>
    <row r="372" spans="1:14" ht="12.75" hidden="1" customHeight="1" x14ac:dyDescent="0.2">
      <c r="A372" s="259" t="s">
        <v>63</v>
      </c>
      <c r="B372" s="252" t="s">
        <v>343</v>
      </c>
      <c r="C372" s="252" t="s">
        <v>190</v>
      </c>
      <c r="D372" s="252" t="s">
        <v>200</v>
      </c>
      <c r="E372" s="260" t="s">
        <v>334</v>
      </c>
      <c r="F372" s="252" t="s">
        <v>64</v>
      </c>
      <c r="G372" s="256"/>
      <c r="H372" s="256"/>
      <c r="I372" s="257" t="e">
        <f>#REF!+G372</f>
        <v>#REF!</v>
      </c>
      <c r="J372" s="257" t="e">
        <f t="shared" si="209"/>
        <v>#REF!</v>
      </c>
      <c r="K372" s="257" t="e">
        <f t="shared" ref="K372:K381" si="213">H372+I372</f>
        <v>#REF!</v>
      </c>
      <c r="L372" s="257" t="e">
        <f t="shared" si="210"/>
        <v>#REF!</v>
      </c>
      <c r="M372" s="257" t="e">
        <f t="shared" si="211"/>
        <v>#REF!</v>
      </c>
      <c r="N372" s="257" t="e">
        <f t="shared" si="212"/>
        <v>#REF!</v>
      </c>
    </row>
    <row r="373" spans="1:14" ht="12.75" hidden="1" customHeight="1" x14ac:dyDescent="0.2">
      <c r="A373" s="259" t="s">
        <v>302</v>
      </c>
      <c r="B373" s="252" t="s">
        <v>343</v>
      </c>
      <c r="C373" s="252" t="s">
        <v>190</v>
      </c>
      <c r="D373" s="252" t="s">
        <v>200</v>
      </c>
      <c r="E373" s="260" t="s">
        <v>334</v>
      </c>
      <c r="F373" s="252" t="s">
        <v>303</v>
      </c>
      <c r="G373" s="256"/>
      <c r="H373" s="256"/>
      <c r="I373" s="257" t="e">
        <f>#REF!+G373</f>
        <v>#REF!</v>
      </c>
      <c r="J373" s="257" t="e">
        <f t="shared" si="209"/>
        <v>#REF!</v>
      </c>
      <c r="K373" s="257" t="e">
        <f t="shared" si="213"/>
        <v>#REF!</v>
      </c>
      <c r="L373" s="257" t="e">
        <f t="shared" si="210"/>
        <v>#REF!</v>
      </c>
      <c r="M373" s="257" t="e">
        <f t="shared" si="211"/>
        <v>#REF!</v>
      </c>
      <c r="N373" s="257" t="e">
        <f t="shared" si="212"/>
        <v>#REF!</v>
      </c>
    </row>
    <row r="374" spans="1:14" ht="12.75" hidden="1" customHeight="1" x14ac:dyDescent="0.2">
      <c r="A374" s="259" t="s">
        <v>344</v>
      </c>
      <c r="B374" s="252" t="s">
        <v>343</v>
      </c>
      <c r="C374" s="252" t="s">
        <v>190</v>
      </c>
      <c r="D374" s="252" t="s">
        <v>200</v>
      </c>
      <c r="E374" s="260" t="s">
        <v>334</v>
      </c>
      <c r="F374" s="252"/>
      <c r="G374" s="256"/>
      <c r="H374" s="256"/>
      <c r="I374" s="257" t="e">
        <f>#REF!+G374</f>
        <v>#REF!</v>
      </c>
      <c r="J374" s="257" t="e">
        <f t="shared" si="209"/>
        <v>#REF!</v>
      </c>
      <c r="K374" s="257" t="e">
        <f t="shared" si="213"/>
        <v>#REF!</v>
      </c>
      <c r="L374" s="257" t="e">
        <f t="shared" si="210"/>
        <v>#REF!</v>
      </c>
      <c r="M374" s="257" t="e">
        <f t="shared" si="211"/>
        <v>#REF!</v>
      </c>
      <c r="N374" s="257" t="e">
        <f t="shared" si="212"/>
        <v>#REF!</v>
      </c>
    </row>
    <row r="375" spans="1:14" ht="38.25" hidden="1" customHeight="1" x14ac:dyDescent="0.2">
      <c r="A375" s="259" t="s">
        <v>345</v>
      </c>
      <c r="B375" s="252" t="s">
        <v>343</v>
      </c>
      <c r="C375" s="252" t="s">
        <v>190</v>
      </c>
      <c r="D375" s="252" t="s">
        <v>200</v>
      </c>
      <c r="E375" s="260" t="s">
        <v>334</v>
      </c>
      <c r="F375" s="252"/>
      <c r="G375" s="256"/>
      <c r="H375" s="256"/>
      <c r="I375" s="257" t="e">
        <f>#REF!+G375</f>
        <v>#REF!</v>
      </c>
      <c r="J375" s="257" t="e">
        <f t="shared" si="209"/>
        <v>#REF!</v>
      </c>
      <c r="K375" s="257" t="e">
        <f t="shared" si="213"/>
        <v>#REF!</v>
      </c>
      <c r="L375" s="257" t="e">
        <f t="shared" si="210"/>
        <v>#REF!</v>
      </c>
      <c r="M375" s="257" t="e">
        <f t="shared" si="211"/>
        <v>#REF!</v>
      </c>
      <c r="N375" s="257" t="e">
        <f t="shared" si="212"/>
        <v>#REF!</v>
      </c>
    </row>
    <row r="376" spans="1:14" ht="12.75" hidden="1" customHeight="1" x14ac:dyDescent="0.2">
      <c r="A376" s="259" t="s">
        <v>63</v>
      </c>
      <c r="B376" s="252" t="s">
        <v>343</v>
      </c>
      <c r="C376" s="252" t="s">
        <v>190</v>
      </c>
      <c r="D376" s="252" t="s">
        <v>200</v>
      </c>
      <c r="E376" s="260" t="s">
        <v>334</v>
      </c>
      <c r="F376" s="252" t="s">
        <v>64</v>
      </c>
      <c r="G376" s="256"/>
      <c r="H376" s="256"/>
      <c r="I376" s="257" t="e">
        <f>#REF!+G376</f>
        <v>#REF!</v>
      </c>
      <c r="J376" s="257" t="e">
        <f t="shared" si="209"/>
        <v>#REF!</v>
      </c>
      <c r="K376" s="257" t="e">
        <f t="shared" si="213"/>
        <v>#REF!</v>
      </c>
      <c r="L376" s="257" t="e">
        <f t="shared" si="210"/>
        <v>#REF!</v>
      </c>
      <c r="M376" s="257" t="e">
        <f t="shared" si="211"/>
        <v>#REF!</v>
      </c>
      <c r="N376" s="257" t="e">
        <f t="shared" si="212"/>
        <v>#REF!</v>
      </c>
    </row>
    <row r="377" spans="1:14" ht="12.75" hidden="1" customHeight="1" x14ac:dyDescent="0.2">
      <c r="A377" s="398" t="s">
        <v>346</v>
      </c>
      <c r="B377" s="252" t="s">
        <v>343</v>
      </c>
      <c r="C377" s="252" t="s">
        <v>190</v>
      </c>
      <c r="D377" s="252" t="s">
        <v>200</v>
      </c>
      <c r="E377" s="260" t="s">
        <v>334</v>
      </c>
      <c r="F377" s="250"/>
      <c r="G377" s="256"/>
      <c r="H377" s="256"/>
      <c r="I377" s="257" t="e">
        <f>#REF!+G377</f>
        <v>#REF!</v>
      </c>
      <c r="J377" s="257" t="e">
        <f t="shared" si="209"/>
        <v>#REF!</v>
      </c>
      <c r="K377" s="257" t="e">
        <f t="shared" si="213"/>
        <v>#REF!</v>
      </c>
      <c r="L377" s="257" t="e">
        <f t="shared" si="210"/>
        <v>#REF!</v>
      </c>
      <c r="M377" s="257" t="e">
        <f t="shared" si="211"/>
        <v>#REF!</v>
      </c>
      <c r="N377" s="257" t="e">
        <f t="shared" si="212"/>
        <v>#REF!</v>
      </c>
    </row>
    <row r="378" spans="1:14" ht="12.75" hidden="1" customHeight="1" x14ac:dyDescent="0.2">
      <c r="A378" s="259" t="s">
        <v>347</v>
      </c>
      <c r="B378" s="252" t="s">
        <v>343</v>
      </c>
      <c r="C378" s="252" t="s">
        <v>190</v>
      </c>
      <c r="D378" s="252" t="s">
        <v>200</v>
      </c>
      <c r="E378" s="260" t="s">
        <v>334</v>
      </c>
      <c r="F378" s="252"/>
      <c r="G378" s="256"/>
      <c r="H378" s="256"/>
      <c r="I378" s="257" t="e">
        <f>#REF!+G378</f>
        <v>#REF!</v>
      </c>
      <c r="J378" s="257" t="e">
        <f t="shared" si="209"/>
        <v>#REF!</v>
      </c>
      <c r="K378" s="257" t="e">
        <f t="shared" si="213"/>
        <v>#REF!</v>
      </c>
      <c r="L378" s="257" t="e">
        <f t="shared" si="210"/>
        <v>#REF!</v>
      </c>
      <c r="M378" s="257" t="e">
        <f t="shared" si="211"/>
        <v>#REF!</v>
      </c>
      <c r="N378" s="257" t="e">
        <f t="shared" si="212"/>
        <v>#REF!</v>
      </c>
    </row>
    <row r="379" spans="1:14" ht="15.75" hidden="1" customHeight="1" x14ac:dyDescent="0.2">
      <c r="A379" s="259" t="s">
        <v>348</v>
      </c>
      <c r="B379" s="252" t="s">
        <v>343</v>
      </c>
      <c r="C379" s="252" t="s">
        <v>190</v>
      </c>
      <c r="D379" s="252" t="s">
        <v>200</v>
      </c>
      <c r="E379" s="260" t="s">
        <v>334</v>
      </c>
      <c r="F379" s="252"/>
      <c r="G379" s="256"/>
      <c r="H379" s="256"/>
      <c r="I379" s="257" t="e">
        <f>#REF!+G379</f>
        <v>#REF!</v>
      </c>
      <c r="J379" s="257" t="e">
        <f t="shared" si="209"/>
        <v>#REF!</v>
      </c>
      <c r="K379" s="257" t="e">
        <f t="shared" si="213"/>
        <v>#REF!</v>
      </c>
      <c r="L379" s="257" t="e">
        <f t="shared" si="210"/>
        <v>#REF!</v>
      </c>
      <c r="M379" s="257" t="e">
        <f t="shared" si="211"/>
        <v>#REF!</v>
      </c>
      <c r="N379" s="257" t="e">
        <f t="shared" si="212"/>
        <v>#REF!</v>
      </c>
    </row>
    <row r="380" spans="1:14" ht="12.75" hidden="1" customHeight="1" x14ac:dyDescent="0.2">
      <c r="A380" s="259" t="s">
        <v>149</v>
      </c>
      <c r="B380" s="252" t="s">
        <v>343</v>
      </c>
      <c r="C380" s="252" t="s">
        <v>190</v>
      </c>
      <c r="D380" s="252" t="s">
        <v>200</v>
      </c>
      <c r="E380" s="260" t="s">
        <v>334</v>
      </c>
      <c r="F380" s="252" t="s">
        <v>150</v>
      </c>
      <c r="G380" s="256"/>
      <c r="H380" s="256"/>
      <c r="I380" s="257" t="e">
        <f>#REF!+G380</f>
        <v>#REF!</v>
      </c>
      <c r="J380" s="257" t="e">
        <f t="shared" si="209"/>
        <v>#REF!</v>
      </c>
      <c r="K380" s="257" t="e">
        <f t="shared" si="213"/>
        <v>#REF!</v>
      </c>
      <c r="L380" s="257" t="e">
        <f t="shared" si="210"/>
        <v>#REF!</v>
      </c>
      <c r="M380" s="257" t="e">
        <f t="shared" si="211"/>
        <v>#REF!</v>
      </c>
      <c r="N380" s="257" t="e">
        <f t="shared" si="212"/>
        <v>#REF!</v>
      </c>
    </row>
    <row r="381" spans="1:14" ht="12.75" hidden="1" customHeight="1" x14ac:dyDescent="0.2">
      <c r="A381" s="259" t="s">
        <v>63</v>
      </c>
      <c r="B381" s="252" t="s">
        <v>343</v>
      </c>
      <c r="C381" s="252" t="s">
        <v>190</v>
      </c>
      <c r="D381" s="252" t="s">
        <v>200</v>
      </c>
      <c r="E381" s="260" t="s">
        <v>334</v>
      </c>
      <c r="F381" s="252" t="s">
        <v>64</v>
      </c>
      <c r="G381" s="256"/>
      <c r="H381" s="256"/>
      <c r="I381" s="257" t="e">
        <f>#REF!+G381</f>
        <v>#REF!</v>
      </c>
      <c r="J381" s="257" t="e">
        <f t="shared" si="209"/>
        <v>#REF!</v>
      </c>
      <c r="K381" s="257" t="e">
        <f t="shared" si="213"/>
        <v>#REF!</v>
      </c>
      <c r="L381" s="257" t="e">
        <f t="shared" si="210"/>
        <v>#REF!</v>
      </c>
      <c r="M381" s="257" t="e">
        <f t="shared" si="211"/>
        <v>#REF!</v>
      </c>
      <c r="N381" s="257" t="e">
        <f t="shared" si="212"/>
        <v>#REF!</v>
      </c>
    </row>
    <row r="382" spans="1:14" ht="15" hidden="1" x14ac:dyDescent="0.2">
      <c r="A382" s="259" t="s">
        <v>103</v>
      </c>
      <c r="B382" s="252" t="s">
        <v>343</v>
      </c>
      <c r="C382" s="252" t="s">
        <v>190</v>
      </c>
      <c r="D382" s="252" t="s">
        <v>200</v>
      </c>
      <c r="E382" s="260" t="s">
        <v>334</v>
      </c>
      <c r="F382" s="252" t="s">
        <v>104</v>
      </c>
      <c r="G382" s="256"/>
      <c r="H382" s="256"/>
      <c r="I382" s="257">
        <v>-70</v>
      </c>
      <c r="J382" s="257">
        <f t="shared" si="209"/>
        <v>-70</v>
      </c>
      <c r="K382" s="257">
        <v>-70</v>
      </c>
      <c r="L382" s="257">
        <f t="shared" si="210"/>
        <v>-70</v>
      </c>
      <c r="M382" s="257">
        <f t="shared" si="211"/>
        <v>-140</v>
      </c>
      <c r="N382" s="257">
        <f t="shared" si="212"/>
        <v>-140</v>
      </c>
    </row>
    <row r="383" spans="1:14" ht="26.25" hidden="1" customHeight="1" x14ac:dyDescent="0.2">
      <c r="A383" s="259" t="s">
        <v>971</v>
      </c>
      <c r="B383" s="252" t="s">
        <v>343</v>
      </c>
      <c r="C383" s="252" t="s">
        <v>190</v>
      </c>
      <c r="D383" s="252" t="s">
        <v>200</v>
      </c>
      <c r="E383" s="260" t="s">
        <v>460</v>
      </c>
      <c r="F383" s="252"/>
      <c r="G383" s="256"/>
      <c r="H383" s="256"/>
      <c r="I383" s="257">
        <f t="shared" ref="I383:N384" si="214">I384</f>
        <v>-4839.8</v>
      </c>
      <c r="J383" s="257" t="e">
        <f t="shared" si="214"/>
        <v>#REF!</v>
      </c>
      <c r="K383" s="257">
        <f t="shared" si="214"/>
        <v>-4839.8</v>
      </c>
      <c r="L383" s="257" t="e">
        <f t="shared" si="214"/>
        <v>#REF!</v>
      </c>
      <c r="M383" s="257" t="e">
        <f t="shared" si="214"/>
        <v>#REF!</v>
      </c>
      <c r="N383" s="257" t="e">
        <f t="shared" si="214"/>
        <v>#REF!</v>
      </c>
    </row>
    <row r="384" spans="1:14" s="20" customFormat="1" ht="44.25" hidden="1" customHeight="1" x14ac:dyDescent="0.2">
      <c r="A384" s="259" t="s">
        <v>993</v>
      </c>
      <c r="B384" s="252" t="s">
        <v>343</v>
      </c>
      <c r="C384" s="252" t="s">
        <v>190</v>
      </c>
      <c r="D384" s="252" t="s">
        <v>200</v>
      </c>
      <c r="E384" s="260" t="s">
        <v>461</v>
      </c>
      <c r="F384" s="252"/>
      <c r="G384" s="256"/>
      <c r="H384" s="256"/>
      <c r="I384" s="257">
        <f t="shared" si="214"/>
        <v>-4839.8</v>
      </c>
      <c r="J384" s="257" t="e">
        <f t="shared" si="214"/>
        <v>#REF!</v>
      </c>
      <c r="K384" s="257">
        <f t="shared" si="214"/>
        <v>-4839.8</v>
      </c>
      <c r="L384" s="257" t="e">
        <f t="shared" si="214"/>
        <v>#REF!</v>
      </c>
      <c r="M384" s="257" t="e">
        <f t="shared" si="214"/>
        <v>#REF!</v>
      </c>
      <c r="N384" s="257" t="e">
        <f t="shared" si="214"/>
        <v>#REF!</v>
      </c>
    </row>
    <row r="385" spans="1:14" s="20" customFormat="1" ht="27.75" hidden="1" customHeight="1" x14ac:dyDescent="0.2">
      <c r="A385" s="259" t="s">
        <v>978</v>
      </c>
      <c r="B385" s="252" t="s">
        <v>343</v>
      </c>
      <c r="C385" s="252" t="s">
        <v>190</v>
      </c>
      <c r="D385" s="252" t="s">
        <v>200</v>
      </c>
      <c r="E385" s="252" t="s">
        <v>464</v>
      </c>
      <c r="F385" s="252"/>
      <c r="G385" s="256"/>
      <c r="H385" s="256"/>
      <c r="I385" s="257">
        <f>I386+I387+I388+I389+I390+I391</f>
        <v>-4839.8</v>
      </c>
      <c r="J385" s="257" t="e">
        <f>J386+J387+J388+J389+J390+J391</f>
        <v>#REF!</v>
      </c>
      <c r="K385" s="257">
        <f>K386+K387+K388+K389+K390+K391</f>
        <v>-4839.8</v>
      </c>
      <c r="L385" s="257" t="e">
        <f>L386+L387+L388+L389+L390+L391</f>
        <v>#REF!</v>
      </c>
      <c r="M385" s="257" t="e">
        <f t="shared" ref="M385:N385" si="215">M386+M387+M388+M389+M390+M391</f>
        <v>#REF!</v>
      </c>
      <c r="N385" s="257" t="e">
        <f t="shared" si="215"/>
        <v>#REF!</v>
      </c>
    </row>
    <row r="386" spans="1:14" ht="12.75" hidden="1" customHeight="1" x14ac:dyDescent="0.2">
      <c r="A386" s="259" t="s">
        <v>95</v>
      </c>
      <c r="B386" s="252" t="s">
        <v>343</v>
      </c>
      <c r="C386" s="252" t="s">
        <v>190</v>
      </c>
      <c r="D386" s="252" t="s">
        <v>200</v>
      </c>
      <c r="E386" s="252" t="s">
        <v>464</v>
      </c>
      <c r="F386" s="252" t="s">
        <v>96</v>
      </c>
      <c r="G386" s="256"/>
      <c r="H386" s="256"/>
      <c r="I386" s="257">
        <v>-3954.8</v>
      </c>
      <c r="J386" s="257" t="e">
        <f>#REF!+I386</f>
        <v>#REF!</v>
      </c>
      <c r="K386" s="257">
        <v>-3954.8</v>
      </c>
      <c r="L386" s="257" t="e">
        <f>#REF!+J386</f>
        <v>#REF!</v>
      </c>
      <c r="M386" s="257" t="e">
        <f>#REF!+K386</f>
        <v>#REF!</v>
      </c>
      <c r="N386" s="257" t="e">
        <f>#REF!+L386</f>
        <v>#REF!</v>
      </c>
    </row>
    <row r="387" spans="1:14" ht="12.75" hidden="1" customHeight="1" x14ac:dyDescent="0.2">
      <c r="A387" s="259" t="s">
        <v>97</v>
      </c>
      <c r="B387" s="252" t="s">
        <v>343</v>
      </c>
      <c r="C387" s="252" t="s">
        <v>190</v>
      </c>
      <c r="D387" s="252" t="s">
        <v>200</v>
      </c>
      <c r="E387" s="252" t="s">
        <v>464</v>
      </c>
      <c r="F387" s="252" t="s">
        <v>98</v>
      </c>
      <c r="G387" s="256"/>
      <c r="H387" s="256"/>
      <c r="I387" s="257">
        <v>-98</v>
      </c>
      <c r="J387" s="257" t="e">
        <f>#REF!+I387</f>
        <v>#REF!</v>
      </c>
      <c r="K387" s="257">
        <v>-98</v>
      </c>
      <c r="L387" s="257" t="e">
        <f>#REF!+J387</f>
        <v>#REF!</v>
      </c>
      <c r="M387" s="257" t="e">
        <f>#REF!+K387</f>
        <v>#REF!</v>
      </c>
      <c r="N387" s="257" t="e">
        <f>#REF!+L387</f>
        <v>#REF!</v>
      </c>
    </row>
    <row r="388" spans="1:14" ht="18.75" hidden="1" customHeight="1" x14ac:dyDescent="0.2">
      <c r="A388" s="259" t="s">
        <v>99</v>
      </c>
      <c r="B388" s="252" t="s">
        <v>343</v>
      </c>
      <c r="C388" s="252" t="s">
        <v>190</v>
      </c>
      <c r="D388" s="252" t="s">
        <v>200</v>
      </c>
      <c r="E388" s="252" t="s">
        <v>464</v>
      </c>
      <c r="F388" s="252" t="s">
        <v>100</v>
      </c>
      <c r="G388" s="256"/>
      <c r="H388" s="256"/>
      <c r="I388" s="257">
        <v>-340</v>
      </c>
      <c r="J388" s="257" t="e">
        <f>#REF!+I388</f>
        <v>#REF!</v>
      </c>
      <c r="K388" s="257">
        <v>-340</v>
      </c>
      <c r="L388" s="257" t="e">
        <f>#REF!+J388</f>
        <v>#REF!</v>
      </c>
      <c r="M388" s="257" t="e">
        <f>#REF!+K388</f>
        <v>#REF!</v>
      </c>
      <c r="N388" s="257" t="e">
        <f>#REF!+L388</f>
        <v>#REF!</v>
      </c>
    </row>
    <row r="389" spans="1:14" ht="18.75" hidden="1" customHeight="1" x14ac:dyDescent="0.2">
      <c r="A389" s="259" t="s">
        <v>93</v>
      </c>
      <c r="B389" s="252" t="s">
        <v>343</v>
      </c>
      <c r="C389" s="252" t="s">
        <v>190</v>
      </c>
      <c r="D389" s="252" t="s">
        <v>200</v>
      </c>
      <c r="E389" s="252" t="s">
        <v>464</v>
      </c>
      <c r="F389" s="252" t="s">
        <v>94</v>
      </c>
      <c r="G389" s="256"/>
      <c r="H389" s="256"/>
      <c r="I389" s="257">
        <v>-387</v>
      </c>
      <c r="J389" s="257" t="e">
        <f>#REF!+I389</f>
        <v>#REF!</v>
      </c>
      <c r="K389" s="257">
        <v>-387</v>
      </c>
      <c r="L389" s="257" t="e">
        <f>#REF!+J389</f>
        <v>#REF!</v>
      </c>
      <c r="M389" s="257" t="e">
        <f>#REF!+K389</f>
        <v>#REF!</v>
      </c>
      <c r="N389" s="257" t="e">
        <f>#REF!+L389</f>
        <v>#REF!</v>
      </c>
    </row>
    <row r="390" spans="1:14" s="20" customFormat="1" ht="12.75" hidden="1" customHeight="1" x14ac:dyDescent="0.2">
      <c r="A390" s="259" t="s">
        <v>103</v>
      </c>
      <c r="B390" s="252" t="s">
        <v>343</v>
      </c>
      <c r="C390" s="252" t="s">
        <v>190</v>
      </c>
      <c r="D390" s="252" t="s">
        <v>200</v>
      </c>
      <c r="E390" s="252" t="s">
        <v>464</v>
      </c>
      <c r="F390" s="252" t="s">
        <v>104</v>
      </c>
      <c r="G390" s="256"/>
      <c r="H390" s="256"/>
      <c r="I390" s="257">
        <v>-23</v>
      </c>
      <c r="J390" s="257" t="e">
        <f>#REF!+I390</f>
        <v>#REF!</v>
      </c>
      <c r="K390" s="257">
        <v>-23</v>
      </c>
      <c r="L390" s="257" t="e">
        <f>#REF!+J390</f>
        <v>#REF!</v>
      </c>
      <c r="M390" s="257" t="e">
        <f>#REF!+K390</f>
        <v>#REF!</v>
      </c>
      <c r="N390" s="257" t="e">
        <f>#REF!+L390</f>
        <v>#REF!</v>
      </c>
    </row>
    <row r="391" spans="1:14" ht="12.75" hidden="1" customHeight="1" x14ac:dyDescent="0.2">
      <c r="A391" s="259" t="s">
        <v>400</v>
      </c>
      <c r="B391" s="252" t="s">
        <v>343</v>
      </c>
      <c r="C391" s="252" t="s">
        <v>190</v>
      </c>
      <c r="D391" s="252" t="s">
        <v>200</v>
      </c>
      <c r="E391" s="252" t="s">
        <v>464</v>
      </c>
      <c r="F391" s="252" t="s">
        <v>106</v>
      </c>
      <c r="G391" s="256"/>
      <c r="H391" s="256"/>
      <c r="I391" s="257">
        <v>-37</v>
      </c>
      <c r="J391" s="257" t="e">
        <f>#REF!+I391</f>
        <v>#REF!</v>
      </c>
      <c r="K391" s="257">
        <v>-37</v>
      </c>
      <c r="L391" s="257" t="e">
        <f>#REF!+J391</f>
        <v>#REF!</v>
      </c>
      <c r="M391" s="257" t="e">
        <f>#REF!+K391</f>
        <v>#REF!</v>
      </c>
      <c r="N391" s="257" t="e">
        <f>#REF!+L391</f>
        <v>#REF!</v>
      </c>
    </row>
    <row r="392" spans="1:14" ht="47.25" customHeight="1" x14ac:dyDescent="0.2">
      <c r="A392" s="259" t="s">
        <v>978</v>
      </c>
      <c r="B392" s="252" t="s">
        <v>343</v>
      </c>
      <c r="C392" s="252" t="s">
        <v>190</v>
      </c>
      <c r="D392" s="252" t="s">
        <v>200</v>
      </c>
      <c r="E392" s="252" t="s">
        <v>1023</v>
      </c>
      <c r="F392" s="252"/>
      <c r="G392" s="257">
        <f>G393+G395+G396+G397+G398+G399</f>
        <v>0</v>
      </c>
      <c r="H392" s="257">
        <f>H393+H395+H396+H397+H398+H399+H394</f>
        <v>5345</v>
      </c>
      <c r="I392" s="257">
        <f>I393+I395+I396+I397+I398+I399+I394</f>
        <v>0</v>
      </c>
      <c r="J392" s="257">
        <f>J393+J395+J396+J397+J398+J399+J394</f>
        <v>5345</v>
      </c>
      <c r="K392" s="257">
        <f>K393+K395+K396+K397+K398+K399+K394+K400</f>
        <v>-199</v>
      </c>
      <c r="L392" s="257">
        <f>L393+L395+L396+L397+L398+L399+L394+L400</f>
        <v>5920</v>
      </c>
      <c r="M392" s="257">
        <f t="shared" ref="M392:N392" si="216">M393+M395+M396+M397+M398+M399+M394+M400</f>
        <v>-510</v>
      </c>
      <c r="N392" s="257">
        <f t="shared" si="216"/>
        <v>5410</v>
      </c>
    </row>
    <row r="393" spans="1:14" ht="12.75" customHeight="1" x14ac:dyDescent="0.2">
      <c r="A393" s="259" t="s">
        <v>95</v>
      </c>
      <c r="B393" s="252" t="s">
        <v>343</v>
      </c>
      <c r="C393" s="252" t="s">
        <v>190</v>
      </c>
      <c r="D393" s="252" t="s">
        <v>200</v>
      </c>
      <c r="E393" s="252" t="s">
        <v>1023</v>
      </c>
      <c r="F393" s="252" t="s">
        <v>96</v>
      </c>
      <c r="G393" s="256"/>
      <c r="H393" s="257">
        <v>4500</v>
      </c>
      <c r="I393" s="257">
        <v>-1000</v>
      </c>
      <c r="J393" s="257">
        <f t="shared" ref="J393:J399" si="217">H393+I393</f>
        <v>3500</v>
      </c>
      <c r="K393" s="257">
        <v>-200</v>
      </c>
      <c r="L393" s="257">
        <v>3800</v>
      </c>
      <c r="M393" s="257">
        <v>48</v>
      </c>
      <c r="N393" s="257">
        <f>L393+M393</f>
        <v>3848</v>
      </c>
    </row>
    <row r="394" spans="1:14" ht="30.75" customHeight="1" x14ac:dyDescent="0.2">
      <c r="A394" s="361" t="s">
        <v>898</v>
      </c>
      <c r="B394" s="252" t="s">
        <v>343</v>
      </c>
      <c r="C394" s="252" t="s">
        <v>190</v>
      </c>
      <c r="D394" s="252" t="s">
        <v>200</v>
      </c>
      <c r="E394" s="252" t="s">
        <v>1023</v>
      </c>
      <c r="F394" s="252" t="s">
        <v>896</v>
      </c>
      <c r="G394" s="256"/>
      <c r="H394" s="257">
        <v>0</v>
      </c>
      <c r="I394" s="257">
        <v>1000</v>
      </c>
      <c r="J394" s="257">
        <f>H394+I394</f>
        <v>1000</v>
      </c>
      <c r="K394" s="257">
        <v>0</v>
      </c>
      <c r="L394" s="257">
        <v>1200</v>
      </c>
      <c r="M394" s="257">
        <v>-38</v>
      </c>
      <c r="N394" s="257">
        <f t="shared" ref="N394:N400" si="218">L394+M394</f>
        <v>1162</v>
      </c>
    </row>
    <row r="395" spans="1:14" ht="13.5" customHeight="1" x14ac:dyDescent="0.2">
      <c r="A395" s="259" t="s">
        <v>97</v>
      </c>
      <c r="B395" s="252" t="s">
        <v>343</v>
      </c>
      <c r="C395" s="252" t="s">
        <v>190</v>
      </c>
      <c r="D395" s="252" t="s">
        <v>200</v>
      </c>
      <c r="E395" s="252" t="s">
        <v>1023</v>
      </c>
      <c r="F395" s="252" t="s">
        <v>98</v>
      </c>
      <c r="G395" s="256"/>
      <c r="H395" s="257">
        <v>98</v>
      </c>
      <c r="I395" s="257">
        <v>0</v>
      </c>
      <c r="J395" s="257">
        <f t="shared" si="217"/>
        <v>98</v>
      </c>
      <c r="K395" s="257">
        <v>0</v>
      </c>
      <c r="L395" s="257">
        <v>80</v>
      </c>
      <c r="M395" s="257">
        <v>-80</v>
      </c>
      <c r="N395" s="257">
        <f t="shared" si="218"/>
        <v>0</v>
      </c>
    </row>
    <row r="396" spans="1:14" ht="12.75" customHeight="1" x14ac:dyDescent="0.2">
      <c r="A396" s="259" t="s">
        <v>99</v>
      </c>
      <c r="B396" s="252" t="s">
        <v>343</v>
      </c>
      <c r="C396" s="252" t="s">
        <v>190</v>
      </c>
      <c r="D396" s="252" t="s">
        <v>200</v>
      </c>
      <c r="E396" s="252" t="s">
        <v>1023</v>
      </c>
      <c r="F396" s="252" t="s">
        <v>100</v>
      </c>
      <c r="G396" s="256"/>
      <c r="H396" s="257">
        <v>250</v>
      </c>
      <c r="I396" s="257">
        <v>0</v>
      </c>
      <c r="J396" s="257">
        <f t="shared" si="217"/>
        <v>250</v>
      </c>
      <c r="K396" s="257">
        <v>0</v>
      </c>
      <c r="L396" s="257">
        <v>280</v>
      </c>
      <c r="M396" s="257">
        <v>-80</v>
      </c>
      <c r="N396" s="257">
        <f t="shared" si="218"/>
        <v>200</v>
      </c>
    </row>
    <row r="397" spans="1:14" ht="12.75" customHeight="1" x14ac:dyDescent="0.2">
      <c r="A397" s="259" t="s">
        <v>93</v>
      </c>
      <c r="B397" s="252" t="s">
        <v>343</v>
      </c>
      <c r="C397" s="252" t="s">
        <v>190</v>
      </c>
      <c r="D397" s="252" t="s">
        <v>200</v>
      </c>
      <c r="E397" s="252" t="s">
        <v>1023</v>
      </c>
      <c r="F397" s="252" t="s">
        <v>94</v>
      </c>
      <c r="G397" s="256"/>
      <c r="H397" s="257">
        <v>437</v>
      </c>
      <c r="I397" s="257">
        <v>0</v>
      </c>
      <c r="J397" s="257">
        <f t="shared" si="217"/>
        <v>437</v>
      </c>
      <c r="K397" s="257">
        <v>0</v>
      </c>
      <c r="L397" s="257">
        <v>480</v>
      </c>
      <c r="M397" s="257">
        <v>-280</v>
      </c>
      <c r="N397" s="257">
        <f t="shared" si="218"/>
        <v>200</v>
      </c>
    </row>
    <row r="398" spans="1:14" ht="12.75" customHeight="1" x14ac:dyDescent="0.2">
      <c r="A398" s="259" t="s">
        <v>103</v>
      </c>
      <c r="B398" s="252" t="s">
        <v>343</v>
      </c>
      <c r="C398" s="252" t="s">
        <v>190</v>
      </c>
      <c r="D398" s="252" t="s">
        <v>200</v>
      </c>
      <c r="E398" s="252" t="s">
        <v>1023</v>
      </c>
      <c r="F398" s="252" t="s">
        <v>104</v>
      </c>
      <c r="G398" s="256"/>
      <c r="H398" s="257">
        <v>23</v>
      </c>
      <c r="I398" s="257">
        <v>0</v>
      </c>
      <c r="J398" s="257">
        <f t="shared" si="217"/>
        <v>23</v>
      </c>
      <c r="K398" s="257">
        <v>0</v>
      </c>
      <c r="L398" s="257">
        <v>23</v>
      </c>
      <c r="M398" s="257">
        <v>-23</v>
      </c>
      <c r="N398" s="257">
        <f t="shared" si="218"/>
        <v>0</v>
      </c>
    </row>
    <row r="399" spans="1:14" ht="12.75" customHeight="1" x14ac:dyDescent="0.2">
      <c r="A399" s="259" t="s">
        <v>400</v>
      </c>
      <c r="B399" s="252" t="s">
        <v>343</v>
      </c>
      <c r="C399" s="252" t="s">
        <v>190</v>
      </c>
      <c r="D399" s="252" t="s">
        <v>200</v>
      </c>
      <c r="E399" s="252" t="s">
        <v>1023</v>
      </c>
      <c r="F399" s="252" t="s">
        <v>106</v>
      </c>
      <c r="G399" s="256"/>
      <c r="H399" s="257">
        <v>37</v>
      </c>
      <c r="I399" s="257">
        <v>0</v>
      </c>
      <c r="J399" s="257">
        <f t="shared" si="217"/>
        <v>37</v>
      </c>
      <c r="K399" s="257">
        <v>-0.28000000000000003</v>
      </c>
      <c r="L399" s="257">
        <v>37</v>
      </c>
      <c r="M399" s="257">
        <v>-37</v>
      </c>
      <c r="N399" s="257">
        <f t="shared" si="218"/>
        <v>0</v>
      </c>
    </row>
    <row r="400" spans="1:14" ht="12.75" customHeight="1" x14ac:dyDescent="0.2">
      <c r="A400" s="259" t="s">
        <v>906</v>
      </c>
      <c r="B400" s="252" t="s">
        <v>343</v>
      </c>
      <c r="C400" s="252" t="s">
        <v>190</v>
      </c>
      <c r="D400" s="252" t="s">
        <v>200</v>
      </c>
      <c r="E400" s="252" t="s">
        <v>1023</v>
      </c>
      <c r="F400" s="252" t="s">
        <v>905</v>
      </c>
      <c r="G400" s="256"/>
      <c r="H400" s="257">
        <v>37</v>
      </c>
      <c r="I400" s="257">
        <v>0</v>
      </c>
      <c r="J400" s="257">
        <v>0</v>
      </c>
      <c r="K400" s="257">
        <v>1.28</v>
      </c>
      <c r="L400" s="257">
        <v>20</v>
      </c>
      <c r="M400" s="257">
        <v>-20</v>
      </c>
      <c r="N400" s="257">
        <f t="shared" si="218"/>
        <v>0</v>
      </c>
    </row>
    <row r="401" spans="1:14" ht="20.25" customHeight="1" x14ac:dyDescent="0.2">
      <c r="A401" s="398" t="s">
        <v>206</v>
      </c>
      <c r="B401" s="250" t="s">
        <v>343</v>
      </c>
      <c r="C401" s="250" t="s">
        <v>190</v>
      </c>
      <c r="D401" s="250" t="s">
        <v>207</v>
      </c>
      <c r="E401" s="252"/>
      <c r="F401" s="252"/>
      <c r="G401" s="256"/>
      <c r="H401" s="275">
        <f t="shared" ref="H401:N401" si="219">H402</f>
        <v>2750</v>
      </c>
      <c r="I401" s="275">
        <f t="shared" si="219"/>
        <v>0</v>
      </c>
      <c r="J401" s="275">
        <f t="shared" si="219"/>
        <v>2750</v>
      </c>
      <c r="K401" s="275">
        <f t="shared" si="219"/>
        <v>200</v>
      </c>
      <c r="L401" s="275">
        <f t="shared" si="219"/>
        <v>3240.0299999999997</v>
      </c>
      <c r="M401" s="275">
        <f t="shared" si="219"/>
        <v>31163.770000000004</v>
      </c>
      <c r="N401" s="275">
        <f t="shared" si="219"/>
        <v>34403.800000000003</v>
      </c>
    </row>
    <row r="402" spans="1:14" ht="42.75" customHeight="1" x14ac:dyDescent="0.2">
      <c r="A402" s="259" t="s">
        <v>979</v>
      </c>
      <c r="B402" s="252" t="s">
        <v>343</v>
      </c>
      <c r="C402" s="252" t="s">
        <v>190</v>
      </c>
      <c r="D402" s="252" t="s">
        <v>207</v>
      </c>
      <c r="E402" s="252"/>
      <c r="F402" s="252"/>
      <c r="G402" s="257">
        <f>G403+G406</f>
        <v>0</v>
      </c>
      <c r="H402" s="257">
        <f>H403+H406+H404+H405</f>
        <v>2750</v>
      </c>
      <c r="I402" s="257">
        <f>I403+I406+I404+I405</f>
        <v>0</v>
      </c>
      <c r="J402" s="257">
        <f>J403+J406+J404+J405</f>
        <v>2750</v>
      </c>
      <c r="K402" s="257">
        <f>K403+K406+K404+K405</f>
        <v>200</v>
      </c>
      <c r="L402" s="257">
        <f>L405+L406+L404+L407</f>
        <v>3240.0299999999997</v>
      </c>
      <c r="M402" s="257">
        <f t="shared" ref="M402:N402" si="220">M405+M406+M404+M407</f>
        <v>31163.770000000004</v>
      </c>
      <c r="N402" s="257">
        <f t="shared" si="220"/>
        <v>34403.800000000003</v>
      </c>
    </row>
    <row r="403" spans="1:14" ht="12.75" hidden="1" customHeight="1" x14ac:dyDescent="0.2">
      <c r="A403" s="259" t="s">
        <v>95</v>
      </c>
      <c r="B403" s="252" t="s">
        <v>343</v>
      </c>
      <c r="C403" s="252" t="s">
        <v>190</v>
      </c>
      <c r="D403" s="252" t="s">
        <v>207</v>
      </c>
      <c r="E403" s="252" t="s">
        <v>853</v>
      </c>
      <c r="F403" s="252" t="s">
        <v>96</v>
      </c>
      <c r="G403" s="256"/>
      <c r="H403" s="257">
        <v>2200</v>
      </c>
      <c r="I403" s="257">
        <v>-2200</v>
      </c>
      <c r="J403" s="257">
        <f t="shared" ref="J403:J408" si="221">H403+I403</f>
        <v>0</v>
      </c>
      <c r="K403" s="257">
        <v>0</v>
      </c>
      <c r="L403" s="257">
        <f>I403+J403</f>
        <v>-2200</v>
      </c>
      <c r="M403" s="257"/>
      <c r="N403" s="257">
        <f>J403+K403</f>
        <v>0</v>
      </c>
    </row>
    <row r="404" spans="1:14" ht="12.75" customHeight="1" x14ac:dyDescent="0.2">
      <c r="A404" s="361" t="s">
        <v>897</v>
      </c>
      <c r="B404" s="252" t="s">
        <v>343</v>
      </c>
      <c r="C404" s="252" t="s">
        <v>190</v>
      </c>
      <c r="D404" s="252" t="s">
        <v>207</v>
      </c>
      <c r="E404" s="252" t="s">
        <v>1023</v>
      </c>
      <c r="F404" s="252" t="s">
        <v>832</v>
      </c>
      <c r="G404" s="256"/>
      <c r="H404" s="257">
        <v>0</v>
      </c>
      <c r="I404" s="257">
        <v>1650</v>
      </c>
      <c r="J404" s="257">
        <f t="shared" si="221"/>
        <v>1650</v>
      </c>
      <c r="K404" s="257">
        <v>200</v>
      </c>
      <c r="L404" s="257">
        <v>2300</v>
      </c>
      <c r="M404" s="257">
        <v>0</v>
      </c>
      <c r="N404" s="257">
        <f>L404+M404</f>
        <v>2300</v>
      </c>
    </row>
    <row r="405" spans="1:14" ht="31.5" customHeight="1" x14ac:dyDescent="0.2">
      <c r="A405" s="361" t="s">
        <v>900</v>
      </c>
      <c r="B405" s="252" t="s">
        <v>343</v>
      </c>
      <c r="C405" s="252" t="s">
        <v>190</v>
      </c>
      <c r="D405" s="252" t="s">
        <v>207</v>
      </c>
      <c r="E405" s="252" t="s">
        <v>1023</v>
      </c>
      <c r="F405" s="252" t="s">
        <v>899</v>
      </c>
      <c r="G405" s="256"/>
      <c r="H405" s="257">
        <v>0</v>
      </c>
      <c r="I405" s="257">
        <v>550</v>
      </c>
      <c r="J405" s="257">
        <f t="shared" si="221"/>
        <v>550</v>
      </c>
      <c r="K405" s="257">
        <v>0</v>
      </c>
      <c r="L405" s="257">
        <v>700</v>
      </c>
      <c r="M405" s="257">
        <v>0</v>
      </c>
      <c r="N405" s="257">
        <f t="shared" ref="N405:N406" si="222">L405+M405</f>
        <v>700</v>
      </c>
    </row>
    <row r="406" spans="1:14" ht="12.75" customHeight="1" x14ac:dyDescent="0.2">
      <c r="A406" s="259" t="s">
        <v>93</v>
      </c>
      <c r="B406" s="252" t="s">
        <v>343</v>
      </c>
      <c r="C406" s="252" t="s">
        <v>190</v>
      </c>
      <c r="D406" s="252" t="s">
        <v>207</v>
      </c>
      <c r="E406" s="252" t="s">
        <v>1023</v>
      </c>
      <c r="F406" s="252" t="s">
        <v>94</v>
      </c>
      <c r="G406" s="256"/>
      <c r="H406" s="257">
        <v>550</v>
      </c>
      <c r="I406" s="257">
        <v>0</v>
      </c>
      <c r="J406" s="257">
        <f t="shared" si="221"/>
        <v>550</v>
      </c>
      <c r="K406" s="257">
        <v>0</v>
      </c>
      <c r="L406" s="257">
        <v>240.03</v>
      </c>
      <c r="M406" s="257">
        <v>-240.03</v>
      </c>
      <c r="N406" s="257">
        <f t="shared" si="222"/>
        <v>0</v>
      </c>
    </row>
    <row r="407" spans="1:14" ht="12.75" customHeight="1" x14ac:dyDescent="0.2">
      <c r="A407" s="259" t="s">
        <v>318</v>
      </c>
      <c r="B407" s="252" t="s">
        <v>343</v>
      </c>
      <c r="C407" s="252" t="s">
        <v>190</v>
      </c>
      <c r="D407" s="252" t="s">
        <v>207</v>
      </c>
      <c r="E407" s="252" t="s">
        <v>1023</v>
      </c>
      <c r="F407" s="252" t="s">
        <v>319</v>
      </c>
      <c r="G407" s="256"/>
      <c r="H407" s="257">
        <v>550</v>
      </c>
      <c r="I407" s="257">
        <v>0</v>
      </c>
      <c r="J407" s="257">
        <f t="shared" si="221"/>
        <v>550</v>
      </c>
      <c r="K407" s="257">
        <v>0</v>
      </c>
      <c r="L407" s="257">
        <v>0</v>
      </c>
      <c r="M407" s="257">
        <f>26160.7+2405+1040+716.9+980+101.2</f>
        <v>31403.800000000003</v>
      </c>
      <c r="N407" s="257">
        <f t="shared" ref="N407" si="223">L407+M407</f>
        <v>31403.800000000003</v>
      </c>
    </row>
    <row r="408" spans="1:14" s="19" customFormat="1" ht="15.75" customHeight="1" x14ac:dyDescent="0.2">
      <c r="A408" s="398" t="s">
        <v>220</v>
      </c>
      <c r="B408" s="250" t="s">
        <v>343</v>
      </c>
      <c r="C408" s="250" t="s">
        <v>196</v>
      </c>
      <c r="D408" s="250">
        <v>12</v>
      </c>
      <c r="E408" s="250"/>
      <c r="F408" s="250"/>
      <c r="G408" s="275">
        <f>G409+G412</f>
        <v>0</v>
      </c>
      <c r="H408" s="275">
        <f>H409+H411+H412</f>
        <v>1550</v>
      </c>
      <c r="I408" s="275">
        <f>I409+I411+I412</f>
        <v>-120</v>
      </c>
      <c r="J408" s="275">
        <f t="shared" si="221"/>
        <v>1430</v>
      </c>
      <c r="K408" s="275">
        <f>K409+K411+K412</f>
        <v>-570</v>
      </c>
      <c r="L408" s="275">
        <f>L409+L412</f>
        <v>860</v>
      </c>
      <c r="M408" s="275">
        <f t="shared" ref="M408:N408" si="224">M409+M412</f>
        <v>-540</v>
      </c>
      <c r="N408" s="275">
        <f t="shared" si="224"/>
        <v>320</v>
      </c>
    </row>
    <row r="409" spans="1:14" ht="40.5" customHeight="1" x14ac:dyDescent="0.2">
      <c r="A409" s="259" t="s">
        <v>994</v>
      </c>
      <c r="B409" s="252" t="s">
        <v>343</v>
      </c>
      <c r="C409" s="252" t="s">
        <v>196</v>
      </c>
      <c r="D409" s="252" t="s">
        <v>205</v>
      </c>
      <c r="E409" s="252" t="s">
        <v>830</v>
      </c>
      <c r="F409" s="252"/>
      <c r="G409" s="256"/>
      <c r="H409" s="257">
        <f>H410</f>
        <v>450</v>
      </c>
      <c r="I409" s="257">
        <f>I410</f>
        <v>0</v>
      </c>
      <c r="J409" s="257">
        <f>J410</f>
        <v>450</v>
      </c>
      <c r="K409" s="257">
        <f>K410</f>
        <v>0</v>
      </c>
      <c r="L409" s="257">
        <f>L410+L411</f>
        <v>700</v>
      </c>
      <c r="M409" s="257">
        <f t="shared" ref="M409:N409" si="225">M410+M411</f>
        <v>-400</v>
      </c>
      <c r="N409" s="257">
        <f t="shared" si="225"/>
        <v>300</v>
      </c>
    </row>
    <row r="410" spans="1:14" ht="30" customHeight="1" x14ac:dyDescent="0.2">
      <c r="A410" s="259" t="s">
        <v>742</v>
      </c>
      <c r="B410" s="252" t="s">
        <v>343</v>
      </c>
      <c r="C410" s="252" t="s">
        <v>196</v>
      </c>
      <c r="D410" s="252" t="s">
        <v>205</v>
      </c>
      <c r="E410" s="252" t="s">
        <v>829</v>
      </c>
      <c r="F410" s="252" t="s">
        <v>94</v>
      </c>
      <c r="G410" s="256"/>
      <c r="H410" s="257">
        <v>450</v>
      </c>
      <c r="I410" s="257">
        <v>0</v>
      </c>
      <c r="J410" s="257">
        <f>H410+I410</f>
        <v>450</v>
      </c>
      <c r="K410" s="257">
        <v>0</v>
      </c>
      <c r="L410" s="257">
        <v>200</v>
      </c>
      <c r="M410" s="257">
        <v>0</v>
      </c>
      <c r="N410" s="257">
        <f>L410+M410</f>
        <v>200</v>
      </c>
    </row>
    <row r="411" spans="1:14" ht="12.75" customHeight="1" x14ac:dyDescent="0.2">
      <c r="A411" s="259" t="s">
        <v>720</v>
      </c>
      <c r="B411" s="252" t="s">
        <v>343</v>
      </c>
      <c r="C411" s="252" t="s">
        <v>196</v>
      </c>
      <c r="D411" s="252" t="s">
        <v>205</v>
      </c>
      <c r="E411" s="252" t="s">
        <v>828</v>
      </c>
      <c r="F411" s="252" t="s">
        <v>94</v>
      </c>
      <c r="G411" s="256"/>
      <c r="H411" s="257">
        <v>900</v>
      </c>
      <c r="I411" s="257">
        <v>-120</v>
      </c>
      <c r="J411" s="257">
        <f>H411+I411</f>
        <v>780</v>
      </c>
      <c r="K411" s="257">
        <v>-570</v>
      </c>
      <c r="L411" s="257">
        <v>500</v>
      </c>
      <c r="M411" s="257">
        <v>-400</v>
      </c>
      <c r="N411" s="257">
        <f>L411+M411</f>
        <v>100</v>
      </c>
    </row>
    <row r="412" spans="1:14" ht="12.75" customHeight="1" x14ac:dyDescent="0.2">
      <c r="A412" s="259" t="s">
        <v>995</v>
      </c>
      <c r="B412" s="252" t="s">
        <v>343</v>
      </c>
      <c r="C412" s="252" t="s">
        <v>196</v>
      </c>
      <c r="D412" s="252" t="s">
        <v>205</v>
      </c>
      <c r="E412" s="252" t="s">
        <v>827</v>
      </c>
      <c r="F412" s="252"/>
      <c r="G412" s="256"/>
      <c r="H412" s="257">
        <f>H413+H414</f>
        <v>200</v>
      </c>
      <c r="I412" s="257">
        <f>I413+I414</f>
        <v>0</v>
      </c>
      <c r="J412" s="257">
        <f>H412+I412</f>
        <v>200</v>
      </c>
      <c r="K412" s="257">
        <f>K413+K414</f>
        <v>0</v>
      </c>
      <c r="L412" s="257">
        <f>L414+L413</f>
        <v>160</v>
      </c>
      <c r="M412" s="257">
        <f t="shared" ref="M412:N412" si="226">M414+M413</f>
        <v>-140</v>
      </c>
      <c r="N412" s="257">
        <f t="shared" si="226"/>
        <v>20</v>
      </c>
    </row>
    <row r="413" spans="1:14" ht="16.5" customHeight="1" x14ac:dyDescent="0.2">
      <c r="A413" s="259" t="s">
        <v>533</v>
      </c>
      <c r="B413" s="252" t="s">
        <v>343</v>
      </c>
      <c r="C413" s="252" t="s">
        <v>196</v>
      </c>
      <c r="D413" s="252" t="s">
        <v>205</v>
      </c>
      <c r="E413" s="252" t="s">
        <v>826</v>
      </c>
      <c r="F413" s="252" t="s">
        <v>94</v>
      </c>
      <c r="G413" s="256"/>
      <c r="H413" s="257">
        <v>100</v>
      </c>
      <c r="I413" s="257">
        <v>0</v>
      </c>
      <c r="J413" s="257">
        <f>H413+I413</f>
        <v>100</v>
      </c>
      <c r="K413" s="257">
        <v>0</v>
      </c>
      <c r="L413" s="257">
        <v>80</v>
      </c>
      <c r="M413" s="257">
        <v>-70</v>
      </c>
      <c r="N413" s="257">
        <f>L413+M413</f>
        <v>10</v>
      </c>
    </row>
    <row r="414" spans="1:14" ht="18" customHeight="1" x14ac:dyDescent="0.2">
      <c r="A414" s="259" t="s">
        <v>534</v>
      </c>
      <c r="B414" s="252" t="s">
        <v>343</v>
      </c>
      <c r="C414" s="252" t="s">
        <v>196</v>
      </c>
      <c r="D414" s="252" t="s">
        <v>205</v>
      </c>
      <c r="E414" s="252" t="s">
        <v>825</v>
      </c>
      <c r="F414" s="252" t="s">
        <v>94</v>
      </c>
      <c r="G414" s="256"/>
      <c r="H414" s="257">
        <v>100</v>
      </c>
      <c r="I414" s="257">
        <v>0</v>
      </c>
      <c r="J414" s="257">
        <f>H414+I414</f>
        <v>100</v>
      </c>
      <c r="K414" s="257">
        <v>0</v>
      </c>
      <c r="L414" s="257">
        <v>80</v>
      </c>
      <c r="M414" s="257">
        <v>-70</v>
      </c>
      <c r="N414" s="257">
        <f>L414+M414</f>
        <v>10</v>
      </c>
    </row>
    <row r="415" spans="1:14" s="19" customFormat="1" ht="14.25" x14ac:dyDescent="0.2">
      <c r="A415" s="398" t="s">
        <v>70</v>
      </c>
      <c r="B415" s="250" t="s">
        <v>343</v>
      </c>
      <c r="C415" s="250"/>
      <c r="D415" s="250"/>
      <c r="E415" s="250"/>
      <c r="F415" s="250"/>
      <c r="G415" s="275" t="e">
        <f>G419+G430+G464+G468</f>
        <v>#REF!</v>
      </c>
      <c r="H415" s="275">
        <f>H419+H423+H427+H430+H464+H468+H416</f>
        <v>27234.6</v>
      </c>
      <c r="I415" s="275">
        <f>I419+I423+I427+I430+I464+I468+I416</f>
        <v>2613.8900000000003</v>
      </c>
      <c r="J415" s="275" t="e">
        <f>J419+J423+J427+J430+J464+J468+J416</f>
        <v>#REF!</v>
      </c>
      <c r="K415" s="275">
        <f>K419+K423+K427+K430+K464+K468+K416</f>
        <v>5519.9319999999998</v>
      </c>
      <c r="L415" s="275">
        <f>L419+L430+L464+L468+L416</f>
        <v>33698.400000000001</v>
      </c>
      <c r="M415" s="275">
        <f>M419+M430+M464+M468+M416</f>
        <v>3203.6000000000004</v>
      </c>
      <c r="N415" s="275">
        <f>N419+N430+N464+N468+N416</f>
        <v>36902</v>
      </c>
    </row>
    <row r="416" spans="1:14" s="19" customFormat="1" ht="15" x14ac:dyDescent="0.2">
      <c r="A416" s="398" t="s">
        <v>201</v>
      </c>
      <c r="B416" s="252" t="s">
        <v>343</v>
      </c>
      <c r="C416" s="249" t="s">
        <v>312</v>
      </c>
      <c r="D416" s="250" t="s">
        <v>202</v>
      </c>
      <c r="E416" s="365"/>
      <c r="F416" s="250"/>
      <c r="G416" s="366"/>
      <c r="H416" s="275">
        <f>H417</f>
        <v>0</v>
      </c>
      <c r="I416" s="275">
        <f>I417</f>
        <v>83.87</v>
      </c>
      <c r="J416" s="275">
        <f>H416+I416</f>
        <v>83.87</v>
      </c>
      <c r="K416" s="275">
        <f>K417</f>
        <v>0</v>
      </c>
      <c r="L416" s="275">
        <f>L417</f>
        <v>0</v>
      </c>
      <c r="M416" s="275">
        <f t="shared" ref="M416:N416" si="227">M417</f>
        <v>952</v>
      </c>
      <c r="N416" s="275">
        <f t="shared" si="227"/>
        <v>952</v>
      </c>
    </row>
    <row r="417" spans="1:14" s="19" customFormat="1" ht="30" x14ac:dyDescent="0.2">
      <c r="A417" s="259" t="s">
        <v>452</v>
      </c>
      <c r="B417" s="252" t="s">
        <v>343</v>
      </c>
      <c r="C417" s="271" t="s">
        <v>312</v>
      </c>
      <c r="D417" s="252" t="s">
        <v>202</v>
      </c>
      <c r="E417" s="260" t="s">
        <v>867</v>
      </c>
      <c r="F417" s="252"/>
      <c r="G417" s="366"/>
      <c r="H417" s="257">
        <f>H418</f>
        <v>0</v>
      </c>
      <c r="I417" s="257">
        <f>I418</f>
        <v>83.87</v>
      </c>
      <c r="J417" s="257">
        <f>J418</f>
        <v>83.87</v>
      </c>
      <c r="K417" s="257">
        <f>K418</f>
        <v>0</v>
      </c>
      <c r="L417" s="257">
        <f>L418</f>
        <v>0</v>
      </c>
      <c r="M417" s="257">
        <f t="shared" ref="M417:N417" si="228">M418</f>
        <v>952</v>
      </c>
      <c r="N417" s="257">
        <f t="shared" si="228"/>
        <v>952</v>
      </c>
    </row>
    <row r="418" spans="1:14" s="19" customFormat="1" ht="15" x14ac:dyDescent="0.2">
      <c r="A418" s="367" t="s">
        <v>768</v>
      </c>
      <c r="B418" s="252" t="s">
        <v>343</v>
      </c>
      <c r="C418" s="271" t="s">
        <v>312</v>
      </c>
      <c r="D418" s="252" t="s">
        <v>202</v>
      </c>
      <c r="E418" s="260" t="s">
        <v>867</v>
      </c>
      <c r="F418" s="252" t="s">
        <v>769</v>
      </c>
      <c r="G418" s="366"/>
      <c r="H418" s="257">
        <v>0</v>
      </c>
      <c r="I418" s="257">
        <v>83.87</v>
      </c>
      <c r="J418" s="257">
        <f>H418+I418</f>
        <v>83.87</v>
      </c>
      <c r="K418" s="257">
        <v>0</v>
      </c>
      <c r="L418" s="257">
        <v>0</v>
      </c>
      <c r="M418" s="257">
        <v>952</v>
      </c>
      <c r="N418" s="257">
        <f>L418+M418</f>
        <v>952</v>
      </c>
    </row>
    <row r="419" spans="1:14" s="19" customFormat="1" ht="14.25" x14ac:dyDescent="0.2">
      <c r="A419" s="398" t="s">
        <v>364</v>
      </c>
      <c r="B419" s="250" t="s">
        <v>343</v>
      </c>
      <c r="C419" s="250" t="s">
        <v>192</v>
      </c>
      <c r="D419" s="250"/>
      <c r="E419" s="250"/>
      <c r="F419" s="250"/>
      <c r="G419" s="264"/>
      <c r="H419" s="275">
        <f t="shared" ref="H419:N421" si="229">H420</f>
        <v>731.5</v>
      </c>
      <c r="I419" s="275">
        <f t="shared" si="229"/>
        <v>0</v>
      </c>
      <c r="J419" s="275">
        <f t="shared" si="229"/>
        <v>731.5</v>
      </c>
      <c r="K419" s="275">
        <f t="shared" si="229"/>
        <v>0</v>
      </c>
      <c r="L419" s="275">
        <f t="shared" si="229"/>
        <v>659</v>
      </c>
      <c r="M419" s="275">
        <f t="shared" si="229"/>
        <v>45.5</v>
      </c>
      <c r="N419" s="275">
        <f t="shared" si="229"/>
        <v>704.5</v>
      </c>
    </row>
    <row r="420" spans="1:14" s="19" customFormat="1" ht="18" customHeight="1" x14ac:dyDescent="0.2">
      <c r="A420" s="398" t="s">
        <v>365</v>
      </c>
      <c r="B420" s="250" t="s">
        <v>343</v>
      </c>
      <c r="C420" s="250" t="s">
        <v>192</v>
      </c>
      <c r="D420" s="250" t="s">
        <v>194</v>
      </c>
      <c r="E420" s="252"/>
      <c r="F420" s="252"/>
      <c r="G420" s="257" t="e">
        <f>#REF!+G421</f>
        <v>#REF!</v>
      </c>
      <c r="H420" s="257">
        <f>H421</f>
        <v>731.5</v>
      </c>
      <c r="I420" s="257">
        <f>I421</f>
        <v>0</v>
      </c>
      <c r="J420" s="257">
        <f>H420+I420</f>
        <v>731.5</v>
      </c>
      <c r="K420" s="257">
        <f t="shared" si="229"/>
        <v>0</v>
      </c>
      <c r="L420" s="257">
        <f t="shared" si="229"/>
        <v>659</v>
      </c>
      <c r="M420" s="257">
        <f t="shared" si="229"/>
        <v>45.5</v>
      </c>
      <c r="N420" s="257">
        <f t="shared" si="229"/>
        <v>704.5</v>
      </c>
    </row>
    <row r="421" spans="1:14" s="242" customFormat="1" ht="30" x14ac:dyDescent="0.2">
      <c r="A421" s="259" t="s">
        <v>366</v>
      </c>
      <c r="B421" s="252" t="s">
        <v>343</v>
      </c>
      <c r="C421" s="252" t="s">
        <v>192</v>
      </c>
      <c r="D421" s="252" t="s">
        <v>194</v>
      </c>
      <c r="E421" s="252" t="s">
        <v>757</v>
      </c>
      <c r="F421" s="252"/>
      <c r="G421" s="256"/>
      <c r="H421" s="257">
        <f>H422</f>
        <v>731.5</v>
      </c>
      <c r="I421" s="257">
        <f>I422</f>
        <v>0</v>
      </c>
      <c r="J421" s="257">
        <f>H421+I421</f>
        <v>731.5</v>
      </c>
      <c r="K421" s="257">
        <f t="shared" si="229"/>
        <v>0</v>
      </c>
      <c r="L421" s="257">
        <f t="shared" si="229"/>
        <v>659</v>
      </c>
      <c r="M421" s="257">
        <f t="shared" si="229"/>
        <v>45.5</v>
      </c>
      <c r="N421" s="257">
        <f t="shared" si="229"/>
        <v>704.5</v>
      </c>
    </row>
    <row r="422" spans="1:14" s="242" customFormat="1" ht="15" x14ac:dyDescent="0.2">
      <c r="A422" s="259" t="s">
        <v>268</v>
      </c>
      <c r="B422" s="252" t="s">
        <v>343</v>
      </c>
      <c r="C422" s="252" t="s">
        <v>192</v>
      </c>
      <c r="D422" s="252" t="s">
        <v>194</v>
      </c>
      <c r="E422" s="252" t="s">
        <v>757</v>
      </c>
      <c r="F422" s="252" t="s">
        <v>155</v>
      </c>
      <c r="G422" s="256"/>
      <c r="H422" s="257">
        <v>731.5</v>
      </c>
      <c r="I422" s="257">
        <v>0</v>
      </c>
      <c r="J422" s="257">
        <f>H422+I422</f>
        <v>731.5</v>
      </c>
      <c r="K422" s="257">
        <v>0</v>
      </c>
      <c r="L422" s="257">
        <v>659</v>
      </c>
      <c r="M422" s="257">
        <v>45.5</v>
      </c>
      <c r="N422" s="257">
        <f>L422+M422</f>
        <v>704.5</v>
      </c>
    </row>
    <row r="423" spans="1:14" s="242" customFormat="1" ht="15" hidden="1" x14ac:dyDescent="0.2">
      <c r="A423" s="398" t="s">
        <v>236</v>
      </c>
      <c r="B423" s="250" t="s">
        <v>343</v>
      </c>
      <c r="C423" s="250" t="s">
        <v>194</v>
      </c>
      <c r="D423" s="250"/>
      <c r="E423" s="252"/>
      <c r="F423" s="252"/>
      <c r="G423" s="256"/>
      <c r="H423" s="275">
        <f t="shared" ref="H423:N425" si="230">H424</f>
        <v>0</v>
      </c>
      <c r="I423" s="275">
        <f t="shared" si="230"/>
        <v>175</v>
      </c>
      <c r="J423" s="275">
        <f t="shared" si="230"/>
        <v>175</v>
      </c>
      <c r="K423" s="275">
        <f t="shared" si="230"/>
        <v>0</v>
      </c>
      <c r="L423" s="275">
        <f t="shared" si="230"/>
        <v>0</v>
      </c>
      <c r="M423" s="275"/>
      <c r="N423" s="275">
        <f t="shared" si="230"/>
        <v>0</v>
      </c>
    </row>
    <row r="424" spans="1:14" s="242" customFormat="1" ht="32.25" hidden="1" customHeight="1" x14ac:dyDescent="0.2">
      <c r="A424" s="398" t="s">
        <v>255</v>
      </c>
      <c r="B424" s="252" t="s">
        <v>343</v>
      </c>
      <c r="C424" s="252" t="s">
        <v>194</v>
      </c>
      <c r="D424" s="252" t="s">
        <v>212</v>
      </c>
      <c r="E424" s="252"/>
      <c r="F424" s="252"/>
      <c r="G424" s="256"/>
      <c r="H424" s="257">
        <f t="shared" si="230"/>
        <v>0</v>
      </c>
      <c r="I424" s="257">
        <f t="shared" si="230"/>
        <v>175</v>
      </c>
      <c r="J424" s="257">
        <f t="shared" si="230"/>
        <v>175</v>
      </c>
      <c r="K424" s="257">
        <f t="shared" si="230"/>
        <v>0</v>
      </c>
      <c r="L424" s="257">
        <f t="shared" si="230"/>
        <v>0</v>
      </c>
      <c r="M424" s="257"/>
      <c r="N424" s="257">
        <f t="shared" si="230"/>
        <v>0</v>
      </c>
    </row>
    <row r="425" spans="1:14" s="242" customFormat="1" ht="27.75" hidden="1" customHeight="1" x14ac:dyDescent="0.2">
      <c r="A425" s="259" t="s">
        <v>466</v>
      </c>
      <c r="B425" s="252" t="s">
        <v>343</v>
      </c>
      <c r="C425" s="252" t="s">
        <v>194</v>
      </c>
      <c r="D425" s="252" t="s">
        <v>212</v>
      </c>
      <c r="E425" s="252" t="s">
        <v>874</v>
      </c>
      <c r="F425" s="252"/>
      <c r="G425" s="256"/>
      <c r="H425" s="257">
        <f t="shared" si="230"/>
        <v>0</v>
      </c>
      <c r="I425" s="257">
        <f t="shared" si="230"/>
        <v>175</v>
      </c>
      <c r="J425" s="257">
        <f t="shared" si="230"/>
        <v>175</v>
      </c>
      <c r="K425" s="257">
        <f t="shared" si="230"/>
        <v>0</v>
      </c>
      <c r="L425" s="257">
        <f t="shared" si="230"/>
        <v>0</v>
      </c>
      <c r="M425" s="257"/>
      <c r="N425" s="257">
        <f t="shared" si="230"/>
        <v>0</v>
      </c>
    </row>
    <row r="426" spans="1:14" s="242" customFormat="1" ht="15" hidden="1" x14ac:dyDescent="0.2">
      <c r="A426" s="367" t="s">
        <v>768</v>
      </c>
      <c r="B426" s="252" t="s">
        <v>343</v>
      </c>
      <c r="C426" s="252" t="s">
        <v>194</v>
      </c>
      <c r="D426" s="252" t="s">
        <v>212</v>
      </c>
      <c r="E426" s="252" t="s">
        <v>874</v>
      </c>
      <c r="F426" s="252" t="s">
        <v>769</v>
      </c>
      <c r="G426" s="256"/>
      <c r="H426" s="257"/>
      <c r="I426" s="257">
        <v>175</v>
      </c>
      <c r="J426" s="257">
        <f>H426+I426</f>
        <v>175</v>
      </c>
      <c r="K426" s="257">
        <v>0</v>
      </c>
      <c r="L426" s="257">
        <v>0</v>
      </c>
      <c r="M426" s="257"/>
      <c r="N426" s="257">
        <v>0</v>
      </c>
    </row>
    <row r="427" spans="1:14" s="242" customFormat="1" ht="14.25" hidden="1" x14ac:dyDescent="0.2">
      <c r="A427" s="398" t="s">
        <v>374</v>
      </c>
      <c r="B427" s="250" t="s">
        <v>343</v>
      </c>
      <c r="C427" s="250" t="s">
        <v>196</v>
      </c>
      <c r="D427" s="250"/>
      <c r="E427" s="250"/>
      <c r="F427" s="250"/>
      <c r="G427" s="264"/>
      <c r="H427" s="275">
        <f t="shared" ref="H427:N427" si="231">H428</f>
        <v>0</v>
      </c>
      <c r="I427" s="275">
        <f t="shared" si="231"/>
        <v>495.14000000000004</v>
      </c>
      <c r="J427" s="275">
        <f t="shared" si="231"/>
        <v>495.14000000000004</v>
      </c>
      <c r="K427" s="275">
        <f t="shared" si="231"/>
        <v>955.16700000000003</v>
      </c>
      <c r="L427" s="275">
        <f t="shared" si="231"/>
        <v>0</v>
      </c>
      <c r="M427" s="275"/>
      <c r="N427" s="275">
        <f t="shared" si="231"/>
        <v>0</v>
      </c>
    </row>
    <row r="428" spans="1:14" s="242" customFormat="1" ht="13.5" hidden="1" customHeight="1" x14ac:dyDescent="0.2">
      <c r="A428" s="259" t="s">
        <v>722</v>
      </c>
      <c r="B428" s="252" t="s">
        <v>343</v>
      </c>
      <c r="C428" s="252" t="s">
        <v>196</v>
      </c>
      <c r="D428" s="252" t="s">
        <v>212</v>
      </c>
      <c r="E428" s="252" t="s">
        <v>849</v>
      </c>
      <c r="F428" s="252"/>
      <c r="G428" s="256"/>
      <c r="H428" s="257">
        <f>H429</f>
        <v>0</v>
      </c>
      <c r="I428" s="257">
        <f>I429</f>
        <v>495.14000000000004</v>
      </c>
      <c r="J428" s="257">
        <f>H428+I428</f>
        <v>495.14000000000004</v>
      </c>
      <c r="K428" s="257">
        <f>K429</f>
        <v>955.16700000000003</v>
      </c>
      <c r="L428" s="257">
        <f>L429</f>
        <v>0</v>
      </c>
      <c r="M428" s="257"/>
      <c r="N428" s="257">
        <f>N429</f>
        <v>0</v>
      </c>
    </row>
    <row r="429" spans="1:14" s="242" customFormat="1" ht="15" hidden="1" x14ac:dyDescent="0.2">
      <c r="A429" s="367" t="s">
        <v>768</v>
      </c>
      <c r="B429" s="252" t="s">
        <v>343</v>
      </c>
      <c r="C429" s="252" t="s">
        <v>196</v>
      </c>
      <c r="D429" s="252" t="s">
        <v>212</v>
      </c>
      <c r="E429" s="252" t="s">
        <v>849</v>
      </c>
      <c r="F429" s="252" t="s">
        <v>769</v>
      </c>
      <c r="G429" s="256"/>
      <c r="H429" s="257">
        <v>0</v>
      </c>
      <c r="I429" s="257">
        <f>374.91+120.23</f>
        <v>495.14000000000004</v>
      </c>
      <c r="J429" s="257">
        <f>H429+I429</f>
        <v>495.14000000000004</v>
      </c>
      <c r="K429" s="257">
        <v>955.16700000000003</v>
      </c>
      <c r="L429" s="257">
        <v>0</v>
      </c>
      <c r="M429" s="257"/>
      <c r="N429" s="257">
        <v>0</v>
      </c>
    </row>
    <row r="430" spans="1:14" s="19" customFormat="1" ht="14.25" x14ac:dyDescent="0.2">
      <c r="A430" s="398" t="s">
        <v>367</v>
      </c>
      <c r="B430" s="250" t="s">
        <v>343</v>
      </c>
      <c r="C430" s="250" t="s">
        <v>198</v>
      </c>
      <c r="D430" s="250"/>
      <c r="E430" s="250"/>
      <c r="F430" s="250"/>
      <c r="G430" s="275">
        <f>G431+G441</f>
        <v>0</v>
      </c>
      <c r="H430" s="275">
        <f>H441</f>
        <v>5495.6</v>
      </c>
      <c r="I430" s="275">
        <f>I431+I441</f>
        <v>0</v>
      </c>
      <c r="J430" s="275" t="e">
        <f>J431+J441</f>
        <v>#REF!</v>
      </c>
      <c r="K430" s="275">
        <f>K441+K461</f>
        <v>1696.25</v>
      </c>
      <c r="L430" s="275">
        <f>L441+L461</f>
        <v>10655</v>
      </c>
      <c r="M430" s="275">
        <f t="shared" ref="M430:N430" si="232">M441+M461</f>
        <v>-78.599999999999994</v>
      </c>
      <c r="N430" s="275">
        <f t="shared" si="232"/>
        <v>10576.4</v>
      </c>
    </row>
    <row r="431" spans="1:14" ht="12" hidden="1" customHeight="1" x14ac:dyDescent="0.2">
      <c r="A431" s="398" t="s">
        <v>222</v>
      </c>
      <c r="B431" s="250" t="s">
        <v>343</v>
      </c>
      <c r="C431" s="250" t="s">
        <v>198</v>
      </c>
      <c r="D431" s="250" t="s">
        <v>190</v>
      </c>
      <c r="E431" s="250"/>
      <c r="F431" s="250"/>
      <c r="G431" s="257">
        <f t="shared" ref="G431:K431" si="233">G435+G437</f>
        <v>0</v>
      </c>
      <c r="H431" s="257"/>
      <c r="I431" s="257">
        <f t="shared" si="233"/>
        <v>0</v>
      </c>
      <c r="J431" s="257" t="e">
        <f t="shared" si="233"/>
        <v>#REF!</v>
      </c>
      <c r="K431" s="257">
        <f t="shared" si="233"/>
        <v>0</v>
      </c>
      <c r="L431" s="257" t="e">
        <f>L435+L437</f>
        <v>#REF!</v>
      </c>
      <c r="M431" s="257">
        <f t="shared" ref="M431:N431" si="234">M435+M437</f>
        <v>0</v>
      </c>
      <c r="N431" s="257" t="e">
        <f t="shared" si="234"/>
        <v>#REF!</v>
      </c>
    </row>
    <row r="432" spans="1:14" s="242" customFormat="1" ht="12.75" hidden="1" customHeight="1" x14ac:dyDescent="0.2">
      <c r="A432" s="259" t="s">
        <v>324</v>
      </c>
      <c r="B432" s="252" t="s">
        <v>343</v>
      </c>
      <c r="C432" s="252" t="s">
        <v>198</v>
      </c>
      <c r="D432" s="252" t="s">
        <v>190</v>
      </c>
      <c r="E432" s="252" t="s">
        <v>156</v>
      </c>
      <c r="F432" s="252"/>
      <c r="G432" s="256"/>
      <c r="H432" s="256"/>
      <c r="I432" s="257" t="e">
        <f>I433+I435+I437+I439</f>
        <v>#REF!</v>
      </c>
      <c r="J432" s="257" t="e">
        <f>J433+J435+J437+J439</f>
        <v>#REF!</v>
      </c>
      <c r="K432" s="257" t="e">
        <f>K433+K435+K437+K439</f>
        <v>#REF!</v>
      </c>
      <c r="L432" s="257" t="e">
        <f>L433+L435+L437+L439</f>
        <v>#REF!</v>
      </c>
      <c r="M432" s="257" t="e">
        <f t="shared" ref="M432:N432" si="235">M433+M435+M437+M439</f>
        <v>#REF!</v>
      </c>
      <c r="N432" s="257" t="e">
        <f t="shared" si="235"/>
        <v>#REF!</v>
      </c>
    </row>
    <row r="433" spans="1:14" s="242" customFormat="1" ht="25.5" hidden="1" customHeight="1" x14ac:dyDescent="0.2">
      <c r="A433" s="259" t="s">
        <v>157</v>
      </c>
      <c r="B433" s="252" t="s">
        <v>343</v>
      </c>
      <c r="C433" s="252" t="s">
        <v>198</v>
      </c>
      <c r="D433" s="252" t="s">
        <v>190</v>
      </c>
      <c r="E433" s="252" t="s">
        <v>158</v>
      </c>
      <c r="F433" s="252"/>
      <c r="G433" s="256"/>
      <c r="H433" s="256"/>
      <c r="I433" s="257" t="e">
        <f>I434</f>
        <v>#REF!</v>
      </c>
      <c r="J433" s="257" t="e">
        <f>J434</f>
        <v>#REF!</v>
      </c>
      <c r="K433" s="257" t="e">
        <f>K434</f>
        <v>#REF!</v>
      </c>
      <c r="L433" s="257" t="e">
        <f>L434</f>
        <v>#REF!</v>
      </c>
      <c r="M433" s="257" t="e">
        <f t="shared" ref="M433:N433" si="236">M434</f>
        <v>#REF!</v>
      </c>
      <c r="N433" s="257" t="e">
        <f t="shared" si="236"/>
        <v>#REF!</v>
      </c>
    </row>
    <row r="434" spans="1:14" s="242" customFormat="1" ht="38.25" hidden="1" customHeight="1" x14ac:dyDescent="0.2">
      <c r="A434" s="259" t="s">
        <v>159</v>
      </c>
      <c r="B434" s="252" t="s">
        <v>343</v>
      </c>
      <c r="C434" s="252" t="s">
        <v>198</v>
      </c>
      <c r="D434" s="252" t="s">
        <v>190</v>
      </c>
      <c r="E434" s="252" t="s">
        <v>158</v>
      </c>
      <c r="F434" s="252" t="s">
        <v>160</v>
      </c>
      <c r="G434" s="256"/>
      <c r="H434" s="256"/>
      <c r="I434" s="257" t="e">
        <f>#REF!+G434</f>
        <v>#REF!</v>
      </c>
      <c r="J434" s="257" t="e">
        <f>#REF!+I434</f>
        <v>#REF!</v>
      </c>
      <c r="K434" s="257" t="e">
        <f>#REF!+I434</f>
        <v>#REF!</v>
      </c>
      <c r="L434" s="257" t="e">
        <f>F434+J434</f>
        <v>#REF!</v>
      </c>
      <c r="M434" s="257" t="e">
        <f t="shared" ref="M434:N434" si="237">G434+K434</f>
        <v>#REF!</v>
      </c>
      <c r="N434" s="257" t="e">
        <f t="shared" si="237"/>
        <v>#REF!</v>
      </c>
    </row>
    <row r="435" spans="1:14" s="242" customFormat="1" ht="25.5" hidden="1" customHeight="1" x14ac:dyDescent="0.2">
      <c r="A435" s="259" t="s">
        <v>766</v>
      </c>
      <c r="B435" s="252" t="s">
        <v>343</v>
      </c>
      <c r="C435" s="252" t="s">
        <v>198</v>
      </c>
      <c r="D435" s="252" t="s">
        <v>190</v>
      </c>
      <c r="E435" s="252" t="s">
        <v>771</v>
      </c>
      <c r="F435" s="252"/>
      <c r="G435" s="256"/>
      <c r="H435" s="256"/>
      <c r="I435" s="257">
        <f>I436</f>
        <v>0</v>
      </c>
      <c r="J435" s="257" t="e">
        <f>J436</f>
        <v>#REF!</v>
      </c>
      <c r="K435" s="257">
        <f>K436</f>
        <v>0</v>
      </c>
      <c r="L435" s="257" t="e">
        <f>L436</f>
        <v>#REF!</v>
      </c>
      <c r="M435" s="257">
        <f t="shared" ref="M435:N435" si="238">M436</f>
        <v>0</v>
      </c>
      <c r="N435" s="257" t="e">
        <f t="shared" si="238"/>
        <v>#REF!</v>
      </c>
    </row>
    <row r="436" spans="1:14" s="242" customFormat="1" ht="18" hidden="1" customHeight="1" x14ac:dyDescent="0.2">
      <c r="A436" s="259" t="s">
        <v>768</v>
      </c>
      <c r="B436" s="252" t="s">
        <v>343</v>
      </c>
      <c r="C436" s="252" t="s">
        <v>198</v>
      </c>
      <c r="D436" s="252" t="s">
        <v>190</v>
      </c>
      <c r="E436" s="252" t="s">
        <v>771</v>
      </c>
      <c r="F436" s="252" t="s">
        <v>769</v>
      </c>
      <c r="G436" s="256"/>
      <c r="H436" s="256"/>
      <c r="I436" s="257">
        <v>0</v>
      </c>
      <c r="J436" s="257" t="e">
        <f>#REF!+I436</f>
        <v>#REF!</v>
      </c>
      <c r="K436" s="257">
        <v>0</v>
      </c>
      <c r="L436" s="257" t="e">
        <f>F436+J436</f>
        <v>#REF!</v>
      </c>
      <c r="M436" s="257">
        <f t="shared" ref="M436:N436" si="239">G436+K436</f>
        <v>0</v>
      </c>
      <c r="N436" s="257" t="e">
        <f t="shared" si="239"/>
        <v>#REF!</v>
      </c>
    </row>
    <row r="437" spans="1:14" s="242" customFormat="1" ht="45" hidden="1" customHeight="1" x14ac:dyDescent="0.2">
      <c r="A437" s="259" t="s">
        <v>767</v>
      </c>
      <c r="B437" s="252" t="s">
        <v>343</v>
      </c>
      <c r="C437" s="252" t="s">
        <v>198</v>
      </c>
      <c r="D437" s="252" t="s">
        <v>190</v>
      </c>
      <c r="E437" s="252" t="s">
        <v>770</v>
      </c>
      <c r="F437" s="252"/>
      <c r="G437" s="256"/>
      <c r="H437" s="256"/>
      <c r="I437" s="257">
        <f>I438</f>
        <v>0</v>
      </c>
      <c r="J437" s="257" t="e">
        <f>J438</f>
        <v>#REF!</v>
      </c>
      <c r="K437" s="257">
        <f>K438</f>
        <v>0</v>
      </c>
      <c r="L437" s="257" t="e">
        <f>L438</f>
        <v>#REF!</v>
      </c>
      <c r="M437" s="257">
        <f t="shared" ref="M437:N437" si="240">M438</f>
        <v>0</v>
      </c>
      <c r="N437" s="257" t="e">
        <f t="shared" si="240"/>
        <v>#REF!</v>
      </c>
    </row>
    <row r="438" spans="1:14" s="242" customFormat="1" ht="38.25" hidden="1" customHeight="1" x14ac:dyDescent="0.2">
      <c r="A438" s="259" t="s">
        <v>159</v>
      </c>
      <c r="B438" s="252" t="s">
        <v>343</v>
      </c>
      <c r="C438" s="252" t="s">
        <v>198</v>
      </c>
      <c r="D438" s="252" t="s">
        <v>190</v>
      </c>
      <c r="E438" s="252" t="s">
        <v>770</v>
      </c>
      <c r="F438" s="252" t="s">
        <v>160</v>
      </c>
      <c r="G438" s="256"/>
      <c r="H438" s="256"/>
      <c r="I438" s="257">
        <v>0</v>
      </c>
      <c r="J438" s="257" t="e">
        <f>#REF!+I438</f>
        <v>#REF!</v>
      </c>
      <c r="K438" s="257">
        <v>0</v>
      </c>
      <c r="L438" s="257" t="e">
        <f>F438+J438</f>
        <v>#REF!</v>
      </c>
      <c r="M438" s="257">
        <f t="shared" ref="M438:N438" si="241">G438+K438</f>
        <v>0</v>
      </c>
      <c r="N438" s="257" t="e">
        <f t="shared" si="241"/>
        <v>#REF!</v>
      </c>
    </row>
    <row r="439" spans="1:14" s="242" customFormat="1" ht="51" hidden="1" customHeight="1" x14ac:dyDescent="0.2">
      <c r="A439" s="259" t="s">
        <v>161</v>
      </c>
      <c r="B439" s="252" t="s">
        <v>343</v>
      </c>
      <c r="C439" s="252" t="s">
        <v>198</v>
      </c>
      <c r="D439" s="252" t="s">
        <v>190</v>
      </c>
      <c r="E439" s="252" t="s">
        <v>162</v>
      </c>
      <c r="F439" s="252"/>
      <c r="G439" s="256"/>
      <c r="H439" s="256"/>
      <c r="I439" s="257" t="e">
        <f>I440</f>
        <v>#REF!</v>
      </c>
      <c r="J439" s="257" t="e">
        <f>J440</f>
        <v>#REF!</v>
      </c>
      <c r="K439" s="257" t="e">
        <f>K440</f>
        <v>#REF!</v>
      </c>
      <c r="L439" s="257" t="e">
        <f>L440</f>
        <v>#REF!</v>
      </c>
      <c r="M439" s="257" t="e">
        <f t="shared" ref="M439:N439" si="242">M440</f>
        <v>#REF!</v>
      </c>
      <c r="N439" s="257" t="e">
        <f t="shared" si="242"/>
        <v>#REF!</v>
      </c>
    </row>
    <row r="440" spans="1:14" s="242" customFormat="1" ht="38.25" hidden="1" customHeight="1" x14ac:dyDescent="0.2">
      <c r="A440" s="259" t="s">
        <v>159</v>
      </c>
      <c r="B440" s="252" t="s">
        <v>343</v>
      </c>
      <c r="C440" s="252" t="s">
        <v>198</v>
      </c>
      <c r="D440" s="252" t="s">
        <v>190</v>
      </c>
      <c r="E440" s="252" t="s">
        <v>162</v>
      </c>
      <c r="F440" s="252" t="s">
        <v>160</v>
      </c>
      <c r="G440" s="256"/>
      <c r="H440" s="256"/>
      <c r="I440" s="257" t="e">
        <f>#REF!+G440</f>
        <v>#REF!</v>
      </c>
      <c r="J440" s="257" t="e">
        <f>#REF!+I440</f>
        <v>#REF!</v>
      </c>
      <c r="K440" s="257" t="e">
        <f>#REF!+I440</f>
        <v>#REF!</v>
      </c>
      <c r="L440" s="257" t="e">
        <f>F440+J440</f>
        <v>#REF!</v>
      </c>
      <c r="M440" s="257" t="e">
        <f t="shared" ref="M440:N440" si="243">G440+K440</f>
        <v>#REF!</v>
      </c>
      <c r="N440" s="257" t="e">
        <f t="shared" si="243"/>
        <v>#REF!</v>
      </c>
    </row>
    <row r="441" spans="1:14" s="19" customFormat="1" ht="15" x14ac:dyDescent="0.2">
      <c r="A441" s="398" t="s">
        <v>223</v>
      </c>
      <c r="B441" s="250" t="s">
        <v>343</v>
      </c>
      <c r="C441" s="250" t="s">
        <v>198</v>
      </c>
      <c r="D441" s="250" t="s">
        <v>192</v>
      </c>
      <c r="E441" s="250"/>
      <c r="F441" s="250"/>
      <c r="G441" s="275">
        <f>G444+G457+G459</f>
        <v>0</v>
      </c>
      <c r="H441" s="257">
        <f>H459</f>
        <v>5495.6</v>
      </c>
      <c r="I441" s="257">
        <f>I459</f>
        <v>0</v>
      </c>
      <c r="J441" s="257">
        <f>H441+I441</f>
        <v>5495.6</v>
      </c>
      <c r="K441" s="257">
        <f>K459</f>
        <v>700</v>
      </c>
      <c r="L441" s="257">
        <f>L459</f>
        <v>10655</v>
      </c>
      <c r="M441" s="257">
        <f t="shared" ref="M441:N441" si="244">M459</f>
        <v>-78.599999999999994</v>
      </c>
      <c r="N441" s="257">
        <f t="shared" si="244"/>
        <v>10576.4</v>
      </c>
    </row>
    <row r="442" spans="1:14" ht="69" hidden="1" customHeight="1" x14ac:dyDescent="0.2">
      <c r="A442" s="270" t="s">
        <v>396</v>
      </c>
      <c r="B442" s="252" t="s">
        <v>343</v>
      </c>
      <c r="C442" s="252" t="s">
        <v>198</v>
      </c>
      <c r="D442" s="252" t="s">
        <v>192</v>
      </c>
      <c r="E442" s="252" t="s">
        <v>398</v>
      </c>
      <c r="F442" s="252"/>
      <c r="G442" s="256"/>
      <c r="H442" s="256"/>
      <c r="I442" s="257">
        <f>I443</f>
        <v>-244.5</v>
      </c>
      <c r="J442" s="275">
        <f t="shared" ref="J442:J460" si="245">H442+I442</f>
        <v>-244.5</v>
      </c>
      <c r="K442" s="257">
        <f>K443</f>
        <v>-244.5</v>
      </c>
      <c r="L442" s="275">
        <f t="shared" ref="L442:L458" si="246">I442+J442</f>
        <v>-489</v>
      </c>
      <c r="M442" s="275">
        <f t="shared" ref="M442:M458" si="247">J442+K442</f>
        <v>-489</v>
      </c>
      <c r="N442" s="275">
        <f t="shared" ref="N442:N458" si="248">K442+L442</f>
        <v>-733.5</v>
      </c>
    </row>
    <row r="443" spans="1:14" ht="15" hidden="1" x14ac:dyDescent="0.2">
      <c r="A443" s="259" t="s">
        <v>268</v>
      </c>
      <c r="B443" s="252" t="s">
        <v>343</v>
      </c>
      <c r="C443" s="252" t="s">
        <v>198</v>
      </c>
      <c r="D443" s="252" t="s">
        <v>192</v>
      </c>
      <c r="E443" s="252" t="s">
        <v>398</v>
      </c>
      <c r="F443" s="252" t="s">
        <v>155</v>
      </c>
      <c r="G443" s="256"/>
      <c r="H443" s="256"/>
      <c r="I443" s="257">
        <v>-244.5</v>
      </c>
      <c r="J443" s="275">
        <f t="shared" si="245"/>
        <v>-244.5</v>
      </c>
      <c r="K443" s="257">
        <v>-244.5</v>
      </c>
      <c r="L443" s="275">
        <f t="shared" si="246"/>
        <v>-489</v>
      </c>
      <c r="M443" s="275">
        <f t="shared" si="247"/>
        <v>-489</v>
      </c>
      <c r="N443" s="275">
        <f t="shared" si="248"/>
        <v>-733.5</v>
      </c>
    </row>
    <row r="444" spans="1:14" ht="70.5" hidden="1" customHeight="1" x14ac:dyDescent="0.2">
      <c r="A444" s="270" t="s">
        <v>397</v>
      </c>
      <c r="B444" s="252" t="s">
        <v>343</v>
      </c>
      <c r="C444" s="252" t="s">
        <v>198</v>
      </c>
      <c r="D444" s="252" t="s">
        <v>192</v>
      </c>
      <c r="E444" s="252" t="s">
        <v>440</v>
      </c>
      <c r="F444" s="252"/>
      <c r="G444" s="256"/>
      <c r="H444" s="256"/>
      <c r="I444" s="257">
        <f>I445</f>
        <v>-8683</v>
      </c>
      <c r="J444" s="275">
        <f t="shared" si="245"/>
        <v>-8683</v>
      </c>
      <c r="K444" s="257">
        <f>K445</f>
        <v>-8683</v>
      </c>
      <c r="L444" s="275">
        <f t="shared" si="246"/>
        <v>-17366</v>
      </c>
      <c r="M444" s="275">
        <f t="shared" si="247"/>
        <v>-17366</v>
      </c>
      <c r="N444" s="275">
        <f t="shared" si="248"/>
        <v>-26049</v>
      </c>
    </row>
    <row r="445" spans="1:14" ht="15" hidden="1" x14ac:dyDescent="0.2">
      <c r="A445" s="259" t="s">
        <v>268</v>
      </c>
      <c r="B445" s="252" t="s">
        <v>343</v>
      </c>
      <c r="C445" s="252" t="s">
        <v>198</v>
      </c>
      <c r="D445" s="252" t="s">
        <v>192</v>
      </c>
      <c r="E445" s="252" t="s">
        <v>440</v>
      </c>
      <c r="F445" s="252" t="s">
        <v>155</v>
      </c>
      <c r="G445" s="256"/>
      <c r="H445" s="256"/>
      <c r="I445" s="257">
        <v>-8683</v>
      </c>
      <c r="J445" s="275">
        <f t="shared" si="245"/>
        <v>-8683</v>
      </c>
      <c r="K445" s="257">
        <v>-8683</v>
      </c>
      <c r="L445" s="275">
        <f t="shared" si="246"/>
        <v>-17366</v>
      </c>
      <c r="M445" s="275">
        <f t="shared" si="247"/>
        <v>-17366</v>
      </c>
      <c r="N445" s="275">
        <f t="shared" si="248"/>
        <v>-26049</v>
      </c>
    </row>
    <row r="446" spans="1:14" s="242" customFormat="1" ht="15" hidden="1" x14ac:dyDescent="0.2">
      <c r="A446" s="259" t="s">
        <v>66</v>
      </c>
      <c r="B446" s="252" t="s">
        <v>343</v>
      </c>
      <c r="C446" s="252" t="s">
        <v>198</v>
      </c>
      <c r="D446" s="252" t="s">
        <v>192</v>
      </c>
      <c r="E446" s="252" t="s">
        <v>67</v>
      </c>
      <c r="F446" s="252"/>
      <c r="G446" s="256"/>
      <c r="H446" s="256"/>
      <c r="I446" s="257" t="e">
        <f>I447</f>
        <v>#REF!</v>
      </c>
      <c r="J446" s="275" t="e">
        <f t="shared" si="245"/>
        <v>#REF!</v>
      </c>
      <c r="K446" s="257" t="e">
        <f>K447</f>
        <v>#REF!</v>
      </c>
      <c r="L446" s="275" t="e">
        <f t="shared" si="246"/>
        <v>#REF!</v>
      </c>
      <c r="M446" s="275" t="e">
        <f t="shared" si="247"/>
        <v>#REF!</v>
      </c>
      <c r="N446" s="275" t="e">
        <f t="shared" si="248"/>
        <v>#REF!</v>
      </c>
    </row>
    <row r="447" spans="1:14" s="242" customFormat="1" ht="65.25" hidden="1" customHeight="1" x14ac:dyDescent="0.2">
      <c r="A447" s="259" t="s">
        <v>151</v>
      </c>
      <c r="B447" s="252" t="s">
        <v>343</v>
      </c>
      <c r="C447" s="252" t="s">
        <v>198</v>
      </c>
      <c r="D447" s="252" t="s">
        <v>192</v>
      </c>
      <c r="E447" s="252" t="s">
        <v>152</v>
      </c>
      <c r="F447" s="252"/>
      <c r="G447" s="256"/>
      <c r="H447" s="256"/>
      <c r="I447" s="257" t="e">
        <f>I448+I449</f>
        <v>#REF!</v>
      </c>
      <c r="J447" s="275" t="e">
        <f t="shared" si="245"/>
        <v>#REF!</v>
      </c>
      <c r="K447" s="257" t="e">
        <f>K448+K449</f>
        <v>#REF!</v>
      </c>
      <c r="L447" s="275" t="e">
        <f t="shared" si="246"/>
        <v>#REF!</v>
      </c>
      <c r="M447" s="275" t="e">
        <f t="shared" si="247"/>
        <v>#REF!</v>
      </c>
      <c r="N447" s="275" t="e">
        <f t="shared" si="248"/>
        <v>#REF!</v>
      </c>
    </row>
    <row r="448" spans="1:14" s="242" customFormat="1" ht="12.75" hidden="1" customHeight="1" x14ac:dyDescent="0.2">
      <c r="A448" s="259" t="s">
        <v>322</v>
      </c>
      <c r="B448" s="252" t="s">
        <v>343</v>
      </c>
      <c r="C448" s="252" t="s">
        <v>198</v>
      </c>
      <c r="D448" s="252" t="s">
        <v>192</v>
      </c>
      <c r="E448" s="252" t="s">
        <v>152</v>
      </c>
      <c r="F448" s="252" t="s">
        <v>323</v>
      </c>
      <c r="G448" s="256"/>
      <c r="H448" s="256"/>
      <c r="I448" s="257" t="e">
        <f>#REF!+G448</f>
        <v>#REF!</v>
      </c>
      <c r="J448" s="275" t="e">
        <f t="shared" si="245"/>
        <v>#REF!</v>
      </c>
      <c r="K448" s="257" t="e">
        <f>H448+I448</f>
        <v>#REF!</v>
      </c>
      <c r="L448" s="275" t="e">
        <f t="shared" si="246"/>
        <v>#REF!</v>
      </c>
      <c r="M448" s="275" t="e">
        <f t="shared" si="247"/>
        <v>#REF!</v>
      </c>
      <c r="N448" s="275" t="e">
        <f t="shared" si="248"/>
        <v>#REF!</v>
      </c>
    </row>
    <row r="449" spans="1:14" s="242" customFormat="1" ht="15" hidden="1" x14ac:dyDescent="0.2">
      <c r="A449" s="259" t="s">
        <v>268</v>
      </c>
      <c r="B449" s="252" t="s">
        <v>343</v>
      </c>
      <c r="C449" s="252" t="s">
        <v>198</v>
      </c>
      <c r="D449" s="252" t="s">
        <v>192</v>
      </c>
      <c r="E449" s="252" t="s">
        <v>152</v>
      </c>
      <c r="F449" s="252" t="s">
        <v>155</v>
      </c>
      <c r="G449" s="256"/>
      <c r="H449" s="256"/>
      <c r="I449" s="257" t="e">
        <f>#REF!+G449</f>
        <v>#REF!</v>
      </c>
      <c r="J449" s="275" t="e">
        <f t="shared" si="245"/>
        <v>#REF!</v>
      </c>
      <c r="K449" s="257" t="e">
        <f>H449+I449</f>
        <v>#REF!</v>
      </c>
      <c r="L449" s="275" t="e">
        <f t="shared" si="246"/>
        <v>#REF!</v>
      </c>
      <c r="M449" s="275" t="e">
        <f t="shared" si="247"/>
        <v>#REF!</v>
      </c>
      <c r="N449" s="275" t="e">
        <f t="shared" si="248"/>
        <v>#REF!</v>
      </c>
    </row>
    <row r="450" spans="1:14" s="242" customFormat="1" ht="15" hidden="1" x14ac:dyDescent="0.2">
      <c r="A450" s="259" t="s">
        <v>324</v>
      </c>
      <c r="B450" s="252" t="s">
        <v>343</v>
      </c>
      <c r="C450" s="252" t="s">
        <v>198</v>
      </c>
      <c r="D450" s="252" t="s">
        <v>192</v>
      </c>
      <c r="E450" s="252" t="s">
        <v>325</v>
      </c>
      <c r="F450" s="252"/>
      <c r="G450" s="256"/>
      <c r="H450" s="256"/>
      <c r="I450" s="257" t="e">
        <f>I451</f>
        <v>#REF!</v>
      </c>
      <c r="J450" s="275" t="e">
        <f t="shared" si="245"/>
        <v>#REF!</v>
      </c>
      <c r="K450" s="257" t="e">
        <f>K451</f>
        <v>#REF!</v>
      </c>
      <c r="L450" s="275" t="e">
        <f t="shared" si="246"/>
        <v>#REF!</v>
      </c>
      <c r="M450" s="275" t="e">
        <f t="shared" si="247"/>
        <v>#REF!</v>
      </c>
      <c r="N450" s="275" t="e">
        <f t="shared" si="248"/>
        <v>#REF!</v>
      </c>
    </row>
    <row r="451" spans="1:14" s="242" customFormat="1" ht="27" hidden="1" customHeight="1" x14ac:dyDescent="0.2">
      <c r="A451" s="259" t="s">
        <v>163</v>
      </c>
      <c r="B451" s="252" t="s">
        <v>343</v>
      </c>
      <c r="C451" s="252" t="s">
        <v>198</v>
      </c>
      <c r="D451" s="252" t="s">
        <v>192</v>
      </c>
      <c r="E451" s="252" t="s">
        <v>328</v>
      </c>
      <c r="F451" s="252"/>
      <c r="G451" s="256"/>
      <c r="H451" s="256"/>
      <c r="I451" s="257" t="e">
        <f>I452</f>
        <v>#REF!</v>
      </c>
      <c r="J451" s="275" t="e">
        <f t="shared" si="245"/>
        <v>#REF!</v>
      </c>
      <c r="K451" s="257" t="e">
        <f>K452</f>
        <v>#REF!</v>
      </c>
      <c r="L451" s="275" t="e">
        <f t="shared" si="246"/>
        <v>#REF!</v>
      </c>
      <c r="M451" s="275" t="e">
        <f t="shared" si="247"/>
        <v>#REF!</v>
      </c>
      <c r="N451" s="275" t="e">
        <f t="shared" si="248"/>
        <v>#REF!</v>
      </c>
    </row>
    <row r="452" spans="1:14" s="242" customFormat="1" ht="30" hidden="1" x14ac:dyDescent="0.2">
      <c r="A452" s="259" t="s">
        <v>159</v>
      </c>
      <c r="B452" s="252" t="s">
        <v>343</v>
      </c>
      <c r="C452" s="252" t="s">
        <v>198</v>
      </c>
      <c r="D452" s="252" t="s">
        <v>192</v>
      </c>
      <c r="E452" s="252" t="s">
        <v>328</v>
      </c>
      <c r="F452" s="252" t="s">
        <v>160</v>
      </c>
      <c r="G452" s="256"/>
      <c r="H452" s="256"/>
      <c r="I452" s="257" t="e">
        <f>#REF!+G452</f>
        <v>#REF!</v>
      </c>
      <c r="J452" s="275" t="e">
        <f t="shared" si="245"/>
        <v>#REF!</v>
      </c>
      <c r="K452" s="257" t="e">
        <f>H452+I452</f>
        <v>#REF!</v>
      </c>
      <c r="L452" s="275" t="e">
        <f t="shared" si="246"/>
        <v>#REF!</v>
      </c>
      <c r="M452" s="275" t="e">
        <f t="shared" si="247"/>
        <v>#REF!</v>
      </c>
      <c r="N452" s="275" t="e">
        <f t="shared" si="248"/>
        <v>#REF!</v>
      </c>
    </row>
    <row r="453" spans="1:14" s="19" customFormat="1" ht="12.75" hidden="1" customHeight="1" x14ac:dyDescent="0.2">
      <c r="A453" s="398" t="s">
        <v>148</v>
      </c>
      <c r="B453" s="250" t="s">
        <v>343</v>
      </c>
      <c r="C453" s="250" t="s">
        <v>212</v>
      </c>
      <c r="D453" s="250"/>
      <c r="E453" s="250"/>
      <c r="F453" s="250"/>
      <c r="G453" s="264"/>
      <c r="H453" s="264"/>
      <c r="I453" s="275" t="e">
        <f>I454</f>
        <v>#REF!</v>
      </c>
      <c r="J453" s="275" t="e">
        <f t="shared" si="245"/>
        <v>#REF!</v>
      </c>
      <c r="K453" s="275" t="e">
        <f>K454</f>
        <v>#REF!</v>
      </c>
      <c r="L453" s="275" t="e">
        <f t="shared" si="246"/>
        <v>#REF!</v>
      </c>
      <c r="M453" s="275" t="e">
        <f t="shared" si="247"/>
        <v>#REF!</v>
      </c>
      <c r="N453" s="275" t="e">
        <f t="shared" si="248"/>
        <v>#REF!</v>
      </c>
    </row>
    <row r="454" spans="1:14" s="19" customFormat="1" ht="12.75" hidden="1" customHeight="1" x14ac:dyDescent="0.2">
      <c r="A454" s="398" t="s">
        <v>272</v>
      </c>
      <c r="B454" s="250" t="s">
        <v>343</v>
      </c>
      <c r="C454" s="250" t="s">
        <v>212</v>
      </c>
      <c r="D454" s="250" t="s">
        <v>212</v>
      </c>
      <c r="E454" s="250"/>
      <c r="F454" s="252"/>
      <c r="G454" s="264"/>
      <c r="H454" s="264"/>
      <c r="I454" s="275" t="e">
        <f>I455</f>
        <v>#REF!</v>
      </c>
      <c r="J454" s="275" t="e">
        <f t="shared" si="245"/>
        <v>#REF!</v>
      </c>
      <c r="K454" s="275" t="e">
        <f>K455</f>
        <v>#REF!</v>
      </c>
      <c r="L454" s="275" t="e">
        <f t="shared" si="246"/>
        <v>#REF!</v>
      </c>
      <c r="M454" s="275" t="e">
        <f t="shared" si="247"/>
        <v>#REF!</v>
      </c>
      <c r="N454" s="275" t="e">
        <f t="shared" si="248"/>
        <v>#REF!</v>
      </c>
    </row>
    <row r="455" spans="1:14" s="242" customFormat="1" ht="38.25" hidden="1" customHeight="1" x14ac:dyDescent="0.2">
      <c r="A455" s="259" t="s">
        <v>326</v>
      </c>
      <c r="B455" s="252" t="s">
        <v>343</v>
      </c>
      <c r="C455" s="252" t="s">
        <v>212</v>
      </c>
      <c r="D455" s="252" t="s">
        <v>212</v>
      </c>
      <c r="E455" s="252" t="s">
        <v>164</v>
      </c>
      <c r="F455" s="252"/>
      <c r="G455" s="256"/>
      <c r="H455" s="256"/>
      <c r="I455" s="257" t="e">
        <f>I456</f>
        <v>#REF!</v>
      </c>
      <c r="J455" s="275" t="e">
        <f t="shared" si="245"/>
        <v>#REF!</v>
      </c>
      <c r="K455" s="257" t="e">
        <f>K456</f>
        <v>#REF!</v>
      </c>
      <c r="L455" s="275" t="e">
        <f t="shared" si="246"/>
        <v>#REF!</v>
      </c>
      <c r="M455" s="275" t="e">
        <f t="shared" si="247"/>
        <v>#REF!</v>
      </c>
      <c r="N455" s="275" t="e">
        <f t="shared" si="248"/>
        <v>#REF!</v>
      </c>
    </row>
    <row r="456" spans="1:14" s="242" customFormat="1" ht="25.5" hidden="1" customHeight="1" x14ac:dyDescent="0.2">
      <c r="A456" s="259" t="s">
        <v>327</v>
      </c>
      <c r="B456" s="252" t="s">
        <v>343</v>
      </c>
      <c r="C456" s="252" t="s">
        <v>212</v>
      </c>
      <c r="D456" s="252" t="s">
        <v>212</v>
      </c>
      <c r="E456" s="252" t="s">
        <v>164</v>
      </c>
      <c r="F456" s="252" t="s">
        <v>165</v>
      </c>
      <c r="G456" s="256"/>
      <c r="H456" s="256"/>
      <c r="I456" s="257" t="e">
        <f>#REF!+G456</f>
        <v>#REF!</v>
      </c>
      <c r="J456" s="275" t="e">
        <f t="shared" si="245"/>
        <v>#REF!</v>
      </c>
      <c r="K456" s="257" t="e">
        <f>H456+I456</f>
        <v>#REF!</v>
      </c>
      <c r="L456" s="275" t="e">
        <f t="shared" si="246"/>
        <v>#REF!</v>
      </c>
      <c r="M456" s="275" t="e">
        <f t="shared" si="247"/>
        <v>#REF!</v>
      </c>
      <c r="N456" s="275" t="e">
        <f t="shared" si="248"/>
        <v>#REF!</v>
      </c>
    </row>
    <row r="457" spans="1:14" s="242" customFormat="1" ht="58.5" hidden="1" customHeight="1" x14ac:dyDescent="0.2">
      <c r="A457" s="270" t="s">
        <v>393</v>
      </c>
      <c r="B457" s="252" t="s">
        <v>343</v>
      </c>
      <c r="C457" s="252" t="s">
        <v>198</v>
      </c>
      <c r="D457" s="252" t="s">
        <v>192</v>
      </c>
      <c r="E457" s="252" t="s">
        <v>441</v>
      </c>
      <c r="F457" s="252"/>
      <c r="G457" s="256"/>
      <c r="H457" s="256"/>
      <c r="I457" s="257">
        <f>I458</f>
        <v>-30.1</v>
      </c>
      <c r="J457" s="275">
        <f t="shared" si="245"/>
        <v>-30.1</v>
      </c>
      <c r="K457" s="257">
        <f>K458</f>
        <v>-30.1</v>
      </c>
      <c r="L457" s="275">
        <f t="shared" si="246"/>
        <v>-60.2</v>
      </c>
      <c r="M457" s="275">
        <f t="shared" si="247"/>
        <v>-60.2</v>
      </c>
      <c r="N457" s="275">
        <f t="shared" si="248"/>
        <v>-90.300000000000011</v>
      </c>
    </row>
    <row r="458" spans="1:14" s="242" customFormat="1" ht="18.75" hidden="1" customHeight="1" x14ac:dyDescent="0.2">
      <c r="A458" s="259" t="s">
        <v>268</v>
      </c>
      <c r="B458" s="252" t="s">
        <v>343</v>
      </c>
      <c r="C458" s="252" t="s">
        <v>198</v>
      </c>
      <c r="D458" s="252" t="s">
        <v>192</v>
      </c>
      <c r="E458" s="252" t="s">
        <v>441</v>
      </c>
      <c r="F458" s="252" t="s">
        <v>155</v>
      </c>
      <c r="G458" s="256"/>
      <c r="H458" s="256"/>
      <c r="I458" s="257">
        <v>-30.1</v>
      </c>
      <c r="J458" s="275">
        <f t="shared" si="245"/>
        <v>-30.1</v>
      </c>
      <c r="K458" s="257">
        <v>-30.1</v>
      </c>
      <c r="L458" s="275">
        <f t="shared" si="246"/>
        <v>-60.2</v>
      </c>
      <c r="M458" s="275">
        <f t="shared" si="247"/>
        <v>-60.2</v>
      </c>
      <c r="N458" s="275">
        <f t="shared" si="248"/>
        <v>-90.300000000000011</v>
      </c>
    </row>
    <row r="459" spans="1:14" s="242" customFormat="1" ht="43.5" customHeight="1" x14ac:dyDescent="0.2">
      <c r="A459" s="259" t="s">
        <v>151</v>
      </c>
      <c r="B459" s="252" t="s">
        <v>343</v>
      </c>
      <c r="C459" s="252" t="s">
        <v>198</v>
      </c>
      <c r="D459" s="252" t="s">
        <v>192</v>
      </c>
      <c r="E459" s="252" t="s">
        <v>760</v>
      </c>
      <c r="F459" s="252"/>
      <c r="G459" s="256"/>
      <c r="H459" s="257">
        <f>H460</f>
        <v>5495.6</v>
      </c>
      <c r="I459" s="257">
        <f>I460</f>
        <v>0</v>
      </c>
      <c r="J459" s="257">
        <f t="shared" si="245"/>
        <v>5495.6</v>
      </c>
      <c r="K459" s="257">
        <f>K460</f>
        <v>700</v>
      </c>
      <c r="L459" s="257">
        <f>L460</f>
        <v>10655</v>
      </c>
      <c r="M459" s="257">
        <f t="shared" ref="M459:N459" si="249">M460</f>
        <v>-78.599999999999994</v>
      </c>
      <c r="N459" s="257">
        <f t="shared" si="249"/>
        <v>10576.4</v>
      </c>
    </row>
    <row r="460" spans="1:14" s="242" customFormat="1" ht="18.75" customHeight="1" x14ac:dyDescent="0.2">
      <c r="A460" s="259" t="s">
        <v>268</v>
      </c>
      <c r="B460" s="252" t="s">
        <v>343</v>
      </c>
      <c r="C460" s="252" t="s">
        <v>198</v>
      </c>
      <c r="D460" s="252" t="s">
        <v>192</v>
      </c>
      <c r="E460" s="252" t="s">
        <v>760</v>
      </c>
      <c r="F460" s="252" t="s">
        <v>155</v>
      </c>
      <c r="G460" s="256"/>
      <c r="H460" s="257">
        <v>5495.6</v>
      </c>
      <c r="I460" s="257">
        <v>0</v>
      </c>
      <c r="J460" s="257">
        <f t="shared" si="245"/>
        <v>5495.6</v>
      </c>
      <c r="K460" s="257">
        <v>700</v>
      </c>
      <c r="L460" s="257">
        <v>10655</v>
      </c>
      <c r="M460" s="257">
        <v>-78.599999999999994</v>
      </c>
      <c r="N460" s="257">
        <f>L460+M460</f>
        <v>10576.4</v>
      </c>
    </row>
    <row r="461" spans="1:14" s="19" customFormat="1" ht="18.75" hidden="1" customHeight="1" x14ac:dyDescent="0.2">
      <c r="A461" s="398" t="s">
        <v>224</v>
      </c>
      <c r="B461" s="250" t="s">
        <v>343</v>
      </c>
      <c r="C461" s="250" t="s">
        <v>198</v>
      </c>
      <c r="D461" s="250" t="s">
        <v>194</v>
      </c>
      <c r="E461" s="250"/>
      <c r="F461" s="250"/>
      <c r="G461" s="264"/>
      <c r="H461" s="275"/>
      <c r="I461" s="366"/>
      <c r="J461" s="275"/>
      <c r="K461" s="275">
        <f>K462+K463</f>
        <v>996.25</v>
      </c>
      <c r="L461" s="275">
        <f>L462+L463</f>
        <v>0</v>
      </c>
      <c r="M461" s="275"/>
      <c r="N461" s="275">
        <f>N462+N463</f>
        <v>0</v>
      </c>
    </row>
    <row r="462" spans="1:14" s="242" customFormat="1" ht="18.75" hidden="1" customHeight="1" x14ac:dyDescent="0.2">
      <c r="A462" s="259" t="s">
        <v>768</v>
      </c>
      <c r="B462" s="252" t="s">
        <v>343</v>
      </c>
      <c r="C462" s="252" t="s">
        <v>198</v>
      </c>
      <c r="D462" s="252" t="s">
        <v>194</v>
      </c>
      <c r="E462" s="252" t="s">
        <v>828</v>
      </c>
      <c r="F462" s="252" t="s">
        <v>769</v>
      </c>
      <c r="G462" s="256"/>
      <c r="H462" s="257"/>
      <c r="I462" s="359"/>
      <c r="J462" s="257"/>
      <c r="K462" s="257">
        <v>350</v>
      </c>
      <c r="L462" s="257">
        <v>0</v>
      </c>
      <c r="M462" s="257"/>
      <c r="N462" s="257">
        <v>0</v>
      </c>
    </row>
    <row r="463" spans="1:14" s="242" customFormat="1" ht="18.75" hidden="1" customHeight="1" x14ac:dyDescent="0.2">
      <c r="A463" s="259" t="s">
        <v>768</v>
      </c>
      <c r="B463" s="252" t="s">
        <v>343</v>
      </c>
      <c r="C463" s="252" t="s">
        <v>198</v>
      </c>
      <c r="D463" s="252" t="s">
        <v>194</v>
      </c>
      <c r="E463" s="252" t="s">
        <v>859</v>
      </c>
      <c r="F463" s="252" t="s">
        <v>769</v>
      </c>
      <c r="G463" s="256"/>
      <c r="H463" s="257"/>
      <c r="I463" s="359"/>
      <c r="J463" s="257"/>
      <c r="K463" s="257">
        <v>646.25</v>
      </c>
      <c r="L463" s="257">
        <v>0</v>
      </c>
      <c r="M463" s="257"/>
      <c r="N463" s="257">
        <v>0</v>
      </c>
    </row>
    <row r="464" spans="1:14" s="19" customFormat="1" ht="18" customHeight="1" x14ac:dyDescent="0.2">
      <c r="A464" s="398" t="s">
        <v>346</v>
      </c>
      <c r="B464" s="250" t="s">
        <v>343</v>
      </c>
      <c r="C464" s="250" t="s">
        <v>207</v>
      </c>
      <c r="D464" s="250"/>
      <c r="E464" s="250"/>
      <c r="F464" s="250"/>
      <c r="G464" s="264"/>
      <c r="H464" s="275">
        <f t="shared" ref="H464:N466" si="250">H465</f>
        <v>200</v>
      </c>
      <c r="I464" s="264">
        <f t="shared" si="250"/>
        <v>0</v>
      </c>
      <c r="J464" s="275">
        <f>H464+I464</f>
        <v>200</v>
      </c>
      <c r="K464" s="275">
        <f t="shared" si="250"/>
        <v>0</v>
      </c>
      <c r="L464" s="275">
        <f t="shared" si="250"/>
        <v>200</v>
      </c>
      <c r="M464" s="275">
        <f t="shared" si="250"/>
        <v>0</v>
      </c>
      <c r="N464" s="275">
        <f t="shared" si="250"/>
        <v>200</v>
      </c>
    </row>
    <row r="465" spans="1:14" ht="19.5" customHeight="1" x14ac:dyDescent="0.2">
      <c r="A465" s="398" t="s">
        <v>284</v>
      </c>
      <c r="B465" s="250" t="s">
        <v>343</v>
      </c>
      <c r="C465" s="250" t="s">
        <v>207</v>
      </c>
      <c r="D465" s="250" t="s">
        <v>190</v>
      </c>
      <c r="E465" s="252"/>
      <c r="F465" s="252"/>
      <c r="G465" s="257" t="e">
        <f>#REF!+G466</f>
        <v>#REF!</v>
      </c>
      <c r="H465" s="257">
        <f t="shared" si="250"/>
        <v>200</v>
      </c>
      <c r="I465" s="257">
        <f t="shared" si="250"/>
        <v>0</v>
      </c>
      <c r="J465" s="257">
        <f>H465+I465</f>
        <v>200</v>
      </c>
      <c r="K465" s="257">
        <f t="shared" si="250"/>
        <v>0</v>
      </c>
      <c r="L465" s="257">
        <f t="shared" si="250"/>
        <v>200</v>
      </c>
      <c r="M465" s="257">
        <f t="shared" si="250"/>
        <v>0</v>
      </c>
      <c r="N465" s="257">
        <f t="shared" si="250"/>
        <v>200</v>
      </c>
    </row>
    <row r="466" spans="1:14" s="242" customFormat="1" ht="20.25" customHeight="1" x14ac:dyDescent="0.2">
      <c r="A466" s="259" t="s">
        <v>503</v>
      </c>
      <c r="B466" s="252" t="s">
        <v>343</v>
      </c>
      <c r="C466" s="252" t="s">
        <v>207</v>
      </c>
      <c r="D466" s="252" t="s">
        <v>190</v>
      </c>
      <c r="E466" s="252" t="s">
        <v>759</v>
      </c>
      <c r="F466" s="252"/>
      <c r="G466" s="256"/>
      <c r="H466" s="257">
        <f t="shared" si="250"/>
        <v>200</v>
      </c>
      <c r="I466" s="257">
        <f t="shared" si="250"/>
        <v>0</v>
      </c>
      <c r="J466" s="257">
        <f>H466+I466</f>
        <v>200</v>
      </c>
      <c r="K466" s="257">
        <f t="shared" si="250"/>
        <v>0</v>
      </c>
      <c r="L466" s="257">
        <f t="shared" si="250"/>
        <v>200</v>
      </c>
      <c r="M466" s="257">
        <f t="shared" si="250"/>
        <v>0</v>
      </c>
      <c r="N466" s="257">
        <f t="shared" si="250"/>
        <v>200</v>
      </c>
    </row>
    <row r="467" spans="1:14" s="242" customFormat="1" ht="15" x14ac:dyDescent="0.2">
      <c r="A467" s="259" t="s">
        <v>166</v>
      </c>
      <c r="B467" s="252" t="s">
        <v>343</v>
      </c>
      <c r="C467" s="252" t="s">
        <v>207</v>
      </c>
      <c r="D467" s="252" t="s">
        <v>190</v>
      </c>
      <c r="E467" s="252" t="s">
        <v>759</v>
      </c>
      <c r="F467" s="252" t="s">
        <v>167</v>
      </c>
      <c r="G467" s="256"/>
      <c r="H467" s="257">
        <v>200</v>
      </c>
      <c r="I467" s="257">
        <v>0</v>
      </c>
      <c r="J467" s="257">
        <f>H467+I467</f>
        <v>200</v>
      </c>
      <c r="K467" s="257">
        <v>0</v>
      </c>
      <c r="L467" s="257">
        <v>200</v>
      </c>
      <c r="M467" s="257">
        <v>0</v>
      </c>
      <c r="N467" s="257">
        <f>L467+M467</f>
        <v>200</v>
      </c>
    </row>
    <row r="468" spans="1:14" s="19" customFormat="1" ht="30.75" customHeight="1" x14ac:dyDescent="0.2">
      <c r="A468" s="398" t="s">
        <v>168</v>
      </c>
      <c r="B468" s="250" t="s">
        <v>343</v>
      </c>
      <c r="C468" s="250" t="s">
        <v>208</v>
      </c>
      <c r="D468" s="250"/>
      <c r="E468" s="250"/>
      <c r="F468" s="250"/>
      <c r="G468" s="277" t="e">
        <f>#REF!+G475</f>
        <v>#REF!</v>
      </c>
      <c r="H468" s="277">
        <f t="shared" ref="H468:L468" si="251">H469+H471+H475</f>
        <v>20807.5</v>
      </c>
      <c r="I468" s="277">
        <f t="shared" si="251"/>
        <v>1859.88</v>
      </c>
      <c r="J468" s="277">
        <f t="shared" si="251"/>
        <v>22667.379999999997</v>
      </c>
      <c r="K468" s="277">
        <f t="shared" si="251"/>
        <v>2868.5149999999999</v>
      </c>
      <c r="L468" s="277">
        <f t="shared" si="251"/>
        <v>22184.400000000001</v>
      </c>
      <c r="M468" s="277">
        <f t="shared" ref="M468:N468" si="252">M469+M471+M475</f>
        <v>2284.7000000000003</v>
      </c>
      <c r="N468" s="277">
        <f t="shared" si="252"/>
        <v>24469.1</v>
      </c>
    </row>
    <row r="469" spans="1:14" ht="28.5" customHeight="1" x14ac:dyDescent="0.2">
      <c r="A469" s="259" t="s">
        <v>980</v>
      </c>
      <c r="B469" s="252" t="s">
        <v>343</v>
      </c>
      <c r="C469" s="252" t="s">
        <v>208</v>
      </c>
      <c r="D469" s="252" t="s">
        <v>190</v>
      </c>
      <c r="E469" s="252" t="s">
        <v>765</v>
      </c>
      <c r="F469" s="252"/>
      <c r="G469" s="256"/>
      <c r="H469" s="257">
        <f>H470</f>
        <v>16130</v>
      </c>
      <c r="I469" s="257">
        <f>I470</f>
        <v>0</v>
      </c>
      <c r="J469" s="257">
        <f>H469+I469</f>
        <v>16130</v>
      </c>
      <c r="K469" s="257">
        <f>K470</f>
        <v>0</v>
      </c>
      <c r="L469" s="257">
        <f>L470+L474</f>
        <v>17706</v>
      </c>
      <c r="M469" s="257">
        <f t="shared" ref="M469:N469" si="253">M470+M474</f>
        <v>4573</v>
      </c>
      <c r="N469" s="257">
        <f t="shared" si="253"/>
        <v>22279</v>
      </c>
    </row>
    <row r="470" spans="1:14" ht="30" customHeight="1" x14ac:dyDescent="0.2">
      <c r="A470" s="259" t="s">
        <v>169</v>
      </c>
      <c r="B470" s="252" t="s">
        <v>343</v>
      </c>
      <c r="C470" s="252" t="s">
        <v>208</v>
      </c>
      <c r="D470" s="252" t="s">
        <v>190</v>
      </c>
      <c r="E470" s="252" t="s">
        <v>765</v>
      </c>
      <c r="F470" s="252" t="s">
        <v>170</v>
      </c>
      <c r="G470" s="256"/>
      <c r="H470" s="257">
        <v>16130</v>
      </c>
      <c r="I470" s="257">
        <v>0</v>
      </c>
      <c r="J470" s="257">
        <f>H470+I470</f>
        <v>16130</v>
      </c>
      <c r="K470" s="257">
        <v>0</v>
      </c>
      <c r="L470" s="257">
        <v>17706</v>
      </c>
      <c r="M470" s="257">
        <v>862.3</v>
      </c>
      <c r="N470" s="257">
        <f>L470+M470</f>
        <v>18568.3</v>
      </c>
    </row>
    <row r="471" spans="1:14" ht="18" hidden="1" customHeight="1" x14ac:dyDescent="0.2">
      <c r="A471" s="259" t="s">
        <v>169</v>
      </c>
      <c r="B471" s="250" t="s">
        <v>343</v>
      </c>
      <c r="C471" s="250" t="s">
        <v>208</v>
      </c>
      <c r="D471" s="250" t="s">
        <v>192</v>
      </c>
      <c r="E471" s="250"/>
      <c r="F471" s="250"/>
      <c r="G471" s="264"/>
      <c r="H471" s="275">
        <f t="shared" ref="H471:L471" si="254">H472</f>
        <v>0</v>
      </c>
      <c r="I471" s="275">
        <f t="shared" si="254"/>
        <v>1015</v>
      </c>
      <c r="J471" s="275">
        <f t="shared" si="254"/>
        <v>1015</v>
      </c>
      <c r="K471" s="275">
        <f t="shared" si="254"/>
        <v>2400</v>
      </c>
      <c r="L471" s="275">
        <f t="shared" si="254"/>
        <v>0</v>
      </c>
      <c r="M471" s="275"/>
      <c r="N471" s="257">
        <f t="shared" ref="N471:N474" si="255">L471+M471</f>
        <v>0</v>
      </c>
    </row>
    <row r="472" spans="1:14" ht="27" hidden="1" customHeight="1" x14ac:dyDescent="0.2">
      <c r="A472" s="259" t="s">
        <v>169</v>
      </c>
      <c r="B472" s="252" t="s">
        <v>343</v>
      </c>
      <c r="C472" s="252" t="s">
        <v>208</v>
      </c>
      <c r="D472" s="252" t="s">
        <v>192</v>
      </c>
      <c r="E472" s="252" t="s">
        <v>912</v>
      </c>
      <c r="F472" s="252"/>
      <c r="G472" s="256"/>
      <c r="H472" s="257">
        <f>H473</f>
        <v>0</v>
      </c>
      <c r="I472" s="257">
        <f>I473</f>
        <v>1015</v>
      </c>
      <c r="J472" s="257">
        <f>H472+I472</f>
        <v>1015</v>
      </c>
      <c r="K472" s="257">
        <f>K473</f>
        <v>2400</v>
      </c>
      <c r="L472" s="257">
        <f>L473</f>
        <v>0</v>
      </c>
      <c r="M472" s="257"/>
      <c r="N472" s="257">
        <f t="shared" si="255"/>
        <v>0</v>
      </c>
    </row>
    <row r="473" spans="1:14" ht="22.5" hidden="1" customHeight="1" x14ac:dyDescent="0.2">
      <c r="A473" s="259" t="s">
        <v>169</v>
      </c>
      <c r="B473" s="252" t="s">
        <v>343</v>
      </c>
      <c r="C473" s="252" t="s">
        <v>208</v>
      </c>
      <c r="D473" s="252" t="s">
        <v>192</v>
      </c>
      <c r="E473" s="252" t="s">
        <v>912</v>
      </c>
      <c r="F473" s="252" t="s">
        <v>269</v>
      </c>
      <c r="G473" s="256"/>
      <c r="H473" s="257">
        <v>0</v>
      </c>
      <c r="I473" s="257">
        <v>1015</v>
      </c>
      <c r="J473" s="257">
        <f>H473+I473</f>
        <v>1015</v>
      </c>
      <c r="K473" s="257">
        <v>2400</v>
      </c>
      <c r="L473" s="257">
        <v>0</v>
      </c>
      <c r="M473" s="257"/>
      <c r="N473" s="257">
        <f t="shared" si="255"/>
        <v>0</v>
      </c>
    </row>
    <row r="474" spans="1:14" ht="34.5" customHeight="1" x14ac:dyDescent="0.2">
      <c r="A474" s="259" t="s">
        <v>169</v>
      </c>
      <c r="B474" s="252" t="s">
        <v>343</v>
      </c>
      <c r="C474" s="252" t="s">
        <v>208</v>
      </c>
      <c r="D474" s="252" t="s">
        <v>190</v>
      </c>
      <c r="E474" s="252" t="s">
        <v>765</v>
      </c>
      <c r="F474" s="252" t="s">
        <v>170</v>
      </c>
      <c r="G474" s="256"/>
      <c r="H474" s="257"/>
      <c r="I474" s="257"/>
      <c r="J474" s="257"/>
      <c r="K474" s="257"/>
      <c r="L474" s="257">
        <v>0</v>
      </c>
      <c r="M474" s="257">
        <f>4690.7-980</f>
        <v>3710.7</v>
      </c>
      <c r="N474" s="257">
        <f t="shared" si="255"/>
        <v>3710.7</v>
      </c>
    </row>
    <row r="475" spans="1:14" ht="14.25" x14ac:dyDescent="0.2">
      <c r="A475" s="268" t="s">
        <v>288</v>
      </c>
      <c r="B475" s="250" t="s">
        <v>343</v>
      </c>
      <c r="C475" s="250" t="s">
        <v>208</v>
      </c>
      <c r="D475" s="250" t="s">
        <v>194</v>
      </c>
      <c r="E475" s="250"/>
      <c r="F475" s="250"/>
      <c r="G475" s="275">
        <f>G478+G476+G481+G484+G483</f>
        <v>0</v>
      </c>
      <c r="H475" s="275">
        <f>H481+H483+H484+H486</f>
        <v>4677.5</v>
      </c>
      <c r="I475" s="275">
        <f>I481+I483+I484+I486</f>
        <v>844.88000000000011</v>
      </c>
      <c r="J475" s="275">
        <f>J481+J483+J484+J486</f>
        <v>5522.3799999999992</v>
      </c>
      <c r="K475" s="275">
        <f>K481+K483+K484+K486+K488</f>
        <v>468.51499999999999</v>
      </c>
      <c r="L475" s="275">
        <f>L481+L483+L484+L486+L488</f>
        <v>4478.3999999999996</v>
      </c>
      <c r="M475" s="275">
        <f t="shared" ref="M475:N475" si="256">M481+M483+M484+M486+M488</f>
        <v>-2288.2999999999997</v>
      </c>
      <c r="N475" s="275">
        <f t="shared" si="256"/>
        <v>2190.1</v>
      </c>
    </row>
    <row r="476" spans="1:14" ht="69" hidden="1" customHeight="1" x14ac:dyDescent="0.2">
      <c r="A476" s="270" t="s">
        <v>396</v>
      </c>
      <c r="B476" s="252" t="s">
        <v>343</v>
      </c>
      <c r="C476" s="252" t="s">
        <v>208</v>
      </c>
      <c r="D476" s="252" t="s">
        <v>194</v>
      </c>
      <c r="E476" s="252" t="s">
        <v>398</v>
      </c>
      <c r="F476" s="252"/>
      <c r="G476" s="256"/>
      <c r="H476" s="256"/>
      <c r="I476" s="257">
        <f>I477</f>
        <v>-665.7</v>
      </c>
      <c r="J476" s="257" t="e">
        <f>J477</f>
        <v>#REF!</v>
      </c>
      <c r="K476" s="257">
        <f>K477</f>
        <v>-665.7</v>
      </c>
      <c r="L476" s="257" t="e">
        <f>L477</f>
        <v>#REF!</v>
      </c>
      <c r="M476" s="257" t="e">
        <f t="shared" ref="M476:N476" si="257">M477</f>
        <v>#REF!</v>
      </c>
      <c r="N476" s="257" t="e">
        <f t="shared" si="257"/>
        <v>#REF!</v>
      </c>
    </row>
    <row r="477" spans="1:14" ht="17.25" hidden="1" customHeight="1" x14ac:dyDescent="0.2">
      <c r="A477" s="259" t="s">
        <v>268</v>
      </c>
      <c r="B477" s="252" t="s">
        <v>343</v>
      </c>
      <c r="C477" s="252" t="s">
        <v>208</v>
      </c>
      <c r="D477" s="252" t="s">
        <v>194</v>
      </c>
      <c r="E477" s="252" t="s">
        <v>398</v>
      </c>
      <c r="F477" s="252" t="s">
        <v>155</v>
      </c>
      <c r="G477" s="256"/>
      <c r="H477" s="256"/>
      <c r="I477" s="257">
        <v>-665.7</v>
      </c>
      <c r="J477" s="257" t="e">
        <f>#REF!+I477</f>
        <v>#REF!</v>
      </c>
      <c r="K477" s="257">
        <v>-665.7</v>
      </c>
      <c r="L477" s="257" t="e">
        <f>#REF!+J477</f>
        <v>#REF!</v>
      </c>
      <c r="M477" s="257" t="e">
        <f>#REF!+K477</f>
        <v>#REF!</v>
      </c>
      <c r="N477" s="257" t="e">
        <f>#REF!+L477</f>
        <v>#REF!</v>
      </c>
    </row>
    <row r="478" spans="1:14" ht="57.75" hidden="1" customHeight="1" x14ac:dyDescent="0.2">
      <c r="A478" s="367" t="s">
        <v>727</v>
      </c>
      <c r="B478" s="252" t="s">
        <v>343</v>
      </c>
      <c r="C478" s="272" t="s">
        <v>208</v>
      </c>
      <c r="D478" s="272" t="s">
        <v>194</v>
      </c>
      <c r="E478" s="272" t="s">
        <v>380</v>
      </c>
      <c r="F478" s="272"/>
      <c r="G478" s="256"/>
      <c r="H478" s="256"/>
      <c r="I478" s="257">
        <f t="shared" ref="I478:N479" si="258">I479</f>
        <v>-3609.5</v>
      </c>
      <c r="J478" s="257" t="e">
        <f t="shared" si="258"/>
        <v>#REF!</v>
      </c>
      <c r="K478" s="257">
        <f t="shared" si="258"/>
        <v>-3609.5</v>
      </c>
      <c r="L478" s="257" t="e">
        <f t="shared" si="258"/>
        <v>#REF!</v>
      </c>
      <c r="M478" s="257" t="e">
        <f t="shared" si="258"/>
        <v>#REF!</v>
      </c>
      <c r="N478" s="257" t="e">
        <f t="shared" si="258"/>
        <v>#REF!</v>
      </c>
    </row>
    <row r="479" spans="1:14" ht="107.25" hidden="1" customHeight="1" x14ac:dyDescent="0.2">
      <c r="A479" s="367" t="s">
        <v>726</v>
      </c>
      <c r="B479" s="252" t="s">
        <v>343</v>
      </c>
      <c r="C479" s="272" t="s">
        <v>208</v>
      </c>
      <c r="D479" s="272" t="s">
        <v>194</v>
      </c>
      <c r="E479" s="272" t="s">
        <v>725</v>
      </c>
      <c r="F479" s="272"/>
      <c r="G479" s="256"/>
      <c r="H479" s="256"/>
      <c r="I479" s="257">
        <f t="shared" si="258"/>
        <v>-3609.5</v>
      </c>
      <c r="J479" s="257" t="e">
        <f t="shared" si="258"/>
        <v>#REF!</v>
      </c>
      <c r="K479" s="257">
        <f t="shared" si="258"/>
        <v>-3609.5</v>
      </c>
      <c r="L479" s="257" t="e">
        <f t="shared" si="258"/>
        <v>#REF!</v>
      </c>
      <c r="M479" s="257" t="e">
        <f t="shared" si="258"/>
        <v>#REF!</v>
      </c>
      <c r="N479" s="257" t="e">
        <f t="shared" si="258"/>
        <v>#REF!</v>
      </c>
    </row>
    <row r="480" spans="1:14" ht="18.75" hidden="1" customHeight="1" x14ac:dyDescent="0.2">
      <c r="A480" s="367" t="s">
        <v>287</v>
      </c>
      <c r="B480" s="252" t="s">
        <v>343</v>
      </c>
      <c r="C480" s="272" t="s">
        <v>208</v>
      </c>
      <c r="D480" s="272" t="s">
        <v>194</v>
      </c>
      <c r="E480" s="272" t="s">
        <v>725</v>
      </c>
      <c r="F480" s="272" t="s">
        <v>269</v>
      </c>
      <c r="G480" s="256"/>
      <c r="H480" s="256"/>
      <c r="I480" s="257">
        <v>-3609.5</v>
      </c>
      <c r="J480" s="257" t="e">
        <f>#REF!+I480</f>
        <v>#REF!</v>
      </c>
      <c r="K480" s="257">
        <v>-3609.5</v>
      </c>
      <c r="L480" s="257" t="e">
        <f>#REF!+J480</f>
        <v>#REF!</v>
      </c>
      <c r="M480" s="257" t="e">
        <f>#REF!+K480</f>
        <v>#REF!</v>
      </c>
      <c r="N480" s="257" t="e">
        <f>#REF!+L480</f>
        <v>#REF!</v>
      </c>
    </row>
    <row r="481" spans="1:14" ht="60.75" customHeight="1" x14ac:dyDescent="0.2">
      <c r="A481" s="367" t="s">
        <v>764</v>
      </c>
      <c r="B481" s="252" t="s">
        <v>343</v>
      </c>
      <c r="C481" s="272" t="s">
        <v>208</v>
      </c>
      <c r="D481" s="272" t="s">
        <v>194</v>
      </c>
      <c r="E481" s="272" t="s">
        <v>762</v>
      </c>
      <c r="F481" s="272"/>
      <c r="G481" s="256"/>
      <c r="H481" s="257">
        <f t="shared" ref="H481:N481" si="259">H482</f>
        <v>502.9</v>
      </c>
      <c r="I481" s="257">
        <f t="shared" si="259"/>
        <v>0</v>
      </c>
      <c r="J481" s="257">
        <f t="shared" si="259"/>
        <v>502.9</v>
      </c>
      <c r="K481" s="257">
        <f t="shared" si="259"/>
        <v>0</v>
      </c>
      <c r="L481" s="257">
        <f t="shared" si="259"/>
        <v>795.7</v>
      </c>
      <c r="M481" s="257">
        <f t="shared" si="259"/>
        <v>36</v>
      </c>
      <c r="N481" s="257">
        <f t="shared" si="259"/>
        <v>831.7</v>
      </c>
    </row>
    <row r="482" spans="1:14" ht="35.25" customHeight="1" x14ac:dyDescent="0.2">
      <c r="A482" s="367" t="s">
        <v>761</v>
      </c>
      <c r="B482" s="252" t="s">
        <v>343</v>
      </c>
      <c r="C482" s="272" t="s">
        <v>208</v>
      </c>
      <c r="D482" s="272" t="s">
        <v>194</v>
      </c>
      <c r="E482" s="272" t="s">
        <v>762</v>
      </c>
      <c r="F482" s="272" t="s">
        <v>160</v>
      </c>
      <c r="G482" s="256"/>
      <c r="H482" s="257">
        <v>502.9</v>
      </c>
      <c r="I482" s="257">
        <v>0</v>
      </c>
      <c r="J482" s="257">
        <f t="shared" ref="J482:J490" si="260">H482+I482</f>
        <v>502.9</v>
      </c>
      <c r="K482" s="257">
        <v>0</v>
      </c>
      <c r="L482" s="257">
        <v>795.7</v>
      </c>
      <c r="M482" s="257">
        <v>36</v>
      </c>
      <c r="N482" s="257">
        <f>L482+M482</f>
        <v>831.7</v>
      </c>
    </row>
    <row r="483" spans="1:14" ht="46.5" customHeight="1" x14ac:dyDescent="0.2">
      <c r="A483" s="368" t="s">
        <v>856</v>
      </c>
      <c r="B483" s="252" t="s">
        <v>343</v>
      </c>
      <c r="C483" s="272" t="s">
        <v>208</v>
      </c>
      <c r="D483" s="272" t="s">
        <v>194</v>
      </c>
      <c r="E483" s="272" t="s">
        <v>855</v>
      </c>
      <c r="F483" s="272" t="s">
        <v>769</v>
      </c>
      <c r="G483" s="256"/>
      <c r="H483" s="257">
        <v>5.6</v>
      </c>
      <c r="I483" s="257">
        <v>-0.52</v>
      </c>
      <c r="J483" s="257">
        <f t="shared" si="260"/>
        <v>5.08</v>
      </c>
      <c r="K483" s="257">
        <v>0</v>
      </c>
      <c r="L483" s="257">
        <v>8</v>
      </c>
      <c r="M483" s="257">
        <v>0.4</v>
      </c>
      <c r="N483" s="257">
        <f>L483+M483</f>
        <v>8.4</v>
      </c>
    </row>
    <row r="484" spans="1:14" ht="49.5" customHeight="1" x14ac:dyDescent="0.2">
      <c r="A484" s="367" t="s">
        <v>763</v>
      </c>
      <c r="B484" s="252" t="s">
        <v>343</v>
      </c>
      <c r="C484" s="272" t="s">
        <v>208</v>
      </c>
      <c r="D484" s="272" t="s">
        <v>194</v>
      </c>
      <c r="E484" s="272" t="s">
        <v>946</v>
      </c>
      <c r="F484" s="272"/>
      <c r="G484" s="256"/>
      <c r="H484" s="257">
        <f>H485</f>
        <v>3669</v>
      </c>
      <c r="I484" s="257">
        <f>I485</f>
        <v>0</v>
      </c>
      <c r="J484" s="257">
        <f t="shared" si="260"/>
        <v>3669</v>
      </c>
      <c r="K484" s="257">
        <f>K485</f>
        <v>0</v>
      </c>
      <c r="L484" s="257">
        <f>L485</f>
        <v>3674.7</v>
      </c>
      <c r="M484" s="257">
        <f t="shared" ref="M484:N484" si="261">M485</f>
        <v>-3674.7</v>
      </c>
      <c r="N484" s="257">
        <f t="shared" si="261"/>
        <v>0</v>
      </c>
    </row>
    <row r="485" spans="1:14" ht="16.5" customHeight="1" x14ac:dyDescent="0.2">
      <c r="A485" s="367" t="s">
        <v>268</v>
      </c>
      <c r="B485" s="252" t="s">
        <v>343</v>
      </c>
      <c r="C485" s="272" t="s">
        <v>208</v>
      </c>
      <c r="D485" s="272" t="s">
        <v>194</v>
      </c>
      <c r="E485" s="272" t="s">
        <v>946</v>
      </c>
      <c r="F485" s="272" t="s">
        <v>155</v>
      </c>
      <c r="G485" s="256"/>
      <c r="H485" s="257">
        <v>3669</v>
      </c>
      <c r="I485" s="257">
        <v>0</v>
      </c>
      <c r="J485" s="257">
        <f t="shared" si="260"/>
        <v>3669</v>
      </c>
      <c r="K485" s="257">
        <v>0</v>
      </c>
      <c r="L485" s="257">
        <v>3674.7</v>
      </c>
      <c r="M485" s="257">
        <v>-3674.7</v>
      </c>
      <c r="N485" s="257">
        <f>L485+M485</f>
        <v>0</v>
      </c>
    </row>
    <row r="486" spans="1:14" ht="18" customHeight="1" x14ac:dyDescent="0.2">
      <c r="A486" s="367" t="s">
        <v>887</v>
      </c>
      <c r="B486" s="252" t="s">
        <v>343</v>
      </c>
      <c r="C486" s="272" t="s">
        <v>208</v>
      </c>
      <c r="D486" s="272" t="s">
        <v>194</v>
      </c>
      <c r="E486" s="272" t="s">
        <v>888</v>
      </c>
      <c r="F486" s="272"/>
      <c r="G486" s="256"/>
      <c r="H486" s="257">
        <f>H487</f>
        <v>500</v>
      </c>
      <c r="I486" s="257">
        <f>I487</f>
        <v>845.40000000000009</v>
      </c>
      <c r="J486" s="257">
        <f t="shared" si="260"/>
        <v>1345.4</v>
      </c>
      <c r="K486" s="257">
        <f>K487</f>
        <v>264.01499999999999</v>
      </c>
      <c r="L486" s="257">
        <f>L487</f>
        <v>0</v>
      </c>
      <c r="M486" s="257">
        <f t="shared" ref="M486:N486" si="262">M487</f>
        <v>1350</v>
      </c>
      <c r="N486" s="257">
        <f t="shared" si="262"/>
        <v>1350</v>
      </c>
    </row>
    <row r="487" spans="1:14" ht="15.75" customHeight="1" x14ac:dyDescent="0.2">
      <c r="A487" s="367" t="s">
        <v>768</v>
      </c>
      <c r="B487" s="252" t="s">
        <v>343</v>
      </c>
      <c r="C487" s="272" t="s">
        <v>208</v>
      </c>
      <c r="D487" s="272" t="s">
        <v>194</v>
      </c>
      <c r="E487" s="272" t="s">
        <v>888</v>
      </c>
      <c r="F487" s="272" t="s">
        <v>769</v>
      </c>
      <c r="G487" s="256"/>
      <c r="H487" s="257">
        <v>500</v>
      </c>
      <c r="I487" s="257">
        <f>535.61+309.79</f>
        <v>845.40000000000009</v>
      </c>
      <c r="J487" s="257">
        <f t="shared" si="260"/>
        <v>1345.4</v>
      </c>
      <c r="K487" s="257">
        <v>264.01499999999999</v>
      </c>
      <c r="L487" s="257">
        <v>0</v>
      </c>
      <c r="M487" s="257">
        <v>1350</v>
      </c>
      <c r="N487" s="257">
        <f>L487+M487</f>
        <v>1350</v>
      </c>
    </row>
    <row r="488" spans="1:14" ht="20.25" hidden="1" customHeight="1" x14ac:dyDescent="0.2">
      <c r="A488" s="367" t="s">
        <v>352</v>
      </c>
      <c r="B488" s="252" t="s">
        <v>343</v>
      </c>
      <c r="C488" s="272" t="s">
        <v>208</v>
      </c>
      <c r="D488" s="272" t="s">
        <v>194</v>
      </c>
      <c r="E488" s="272" t="s">
        <v>875</v>
      </c>
      <c r="F488" s="272"/>
      <c r="G488" s="256"/>
      <c r="H488" s="257">
        <f>H489</f>
        <v>500</v>
      </c>
      <c r="I488" s="257">
        <f>I489</f>
        <v>845.40000000000009</v>
      </c>
      <c r="J488" s="257">
        <v>0</v>
      </c>
      <c r="K488" s="257">
        <f>K489</f>
        <v>204.5</v>
      </c>
      <c r="L488" s="257">
        <f>L489</f>
        <v>0</v>
      </c>
      <c r="M488" s="257"/>
      <c r="N488" s="257">
        <f>N489</f>
        <v>0</v>
      </c>
    </row>
    <row r="489" spans="1:14" ht="20.25" hidden="1" customHeight="1" x14ac:dyDescent="0.2">
      <c r="A489" s="367" t="s">
        <v>768</v>
      </c>
      <c r="B489" s="252" t="s">
        <v>343</v>
      </c>
      <c r="C489" s="272" t="s">
        <v>208</v>
      </c>
      <c r="D489" s="272" t="s">
        <v>194</v>
      </c>
      <c r="E489" s="272" t="s">
        <v>875</v>
      </c>
      <c r="F489" s="272" t="s">
        <v>769</v>
      </c>
      <c r="G489" s="256"/>
      <c r="H489" s="257">
        <v>500</v>
      </c>
      <c r="I489" s="257">
        <f>535.61+309.79</f>
        <v>845.40000000000009</v>
      </c>
      <c r="J489" s="257">
        <v>0</v>
      </c>
      <c r="K489" s="257">
        <v>204.5</v>
      </c>
      <c r="L489" s="257">
        <v>0</v>
      </c>
      <c r="M489" s="257"/>
      <c r="N489" s="257">
        <v>0</v>
      </c>
    </row>
    <row r="490" spans="1:14" s="17" customFormat="1" ht="15.75" x14ac:dyDescent="0.2">
      <c r="A490" s="533" t="s">
        <v>308</v>
      </c>
      <c r="B490" s="524"/>
      <c r="C490" s="524"/>
      <c r="D490" s="524"/>
      <c r="E490" s="524"/>
      <c r="F490" s="524"/>
      <c r="G490" s="247"/>
      <c r="H490" s="245">
        <f>H491</f>
        <v>4429.5</v>
      </c>
      <c r="I490" s="245">
        <f>I491</f>
        <v>0</v>
      </c>
      <c r="J490" s="274">
        <f t="shared" si="260"/>
        <v>4429.5</v>
      </c>
      <c r="K490" s="245">
        <f>K491</f>
        <v>0</v>
      </c>
      <c r="L490" s="245">
        <f>L491</f>
        <v>4492</v>
      </c>
      <c r="M490" s="245">
        <f t="shared" ref="M490:N490" si="263">M491</f>
        <v>-325</v>
      </c>
      <c r="N490" s="245">
        <f t="shared" si="263"/>
        <v>4167</v>
      </c>
    </row>
    <row r="491" spans="1:14" s="19" customFormat="1" ht="14.25" x14ac:dyDescent="0.2">
      <c r="A491" s="398" t="s">
        <v>72</v>
      </c>
      <c r="B491" s="249">
        <v>800</v>
      </c>
      <c r="C491" s="250" t="s">
        <v>190</v>
      </c>
      <c r="D491" s="250"/>
      <c r="E491" s="250"/>
      <c r="F491" s="250"/>
      <c r="G491" s="264"/>
      <c r="H491" s="264">
        <f t="shared" ref="H491:L491" si="264">H492+H529</f>
        <v>4429.5</v>
      </c>
      <c r="I491" s="264">
        <f t="shared" si="264"/>
        <v>0</v>
      </c>
      <c r="J491" s="277">
        <f t="shared" si="264"/>
        <v>4429.5</v>
      </c>
      <c r="K491" s="264">
        <f t="shared" si="264"/>
        <v>0</v>
      </c>
      <c r="L491" s="275">
        <f t="shared" si="264"/>
        <v>4492</v>
      </c>
      <c r="M491" s="275">
        <f t="shared" ref="M491:N491" si="265">M492+M529</f>
        <v>-325</v>
      </c>
      <c r="N491" s="275">
        <f t="shared" si="265"/>
        <v>4167</v>
      </c>
    </row>
    <row r="492" spans="1:14" ht="41.25" customHeight="1" x14ac:dyDescent="0.2">
      <c r="A492" s="398" t="s">
        <v>193</v>
      </c>
      <c r="B492" s="249">
        <v>800</v>
      </c>
      <c r="C492" s="250" t="s">
        <v>190</v>
      </c>
      <c r="D492" s="250" t="s">
        <v>194</v>
      </c>
      <c r="E492" s="250"/>
      <c r="F492" s="250"/>
      <c r="G492" s="257">
        <f>G506+G515</f>
        <v>0</v>
      </c>
      <c r="H492" s="257">
        <f t="shared" ref="H492:L492" si="266">H515+H519</f>
        <v>3350</v>
      </c>
      <c r="I492" s="257">
        <f t="shared" si="266"/>
        <v>0</v>
      </c>
      <c r="J492" s="257">
        <f t="shared" si="266"/>
        <v>3350</v>
      </c>
      <c r="K492" s="257">
        <f t="shared" si="266"/>
        <v>0</v>
      </c>
      <c r="L492" s="257">
        <f t="shared" si="266"/>
        <v>3426</v>
      </c>
      <c r="M492" s="257">
        <f t="shared" ref="M492:N492" si="267">M515+M519</f>
        <v>-216</v>
      </c>
      <c r="N492" s="257">
        <f t="shared" si="267"/>
        <v>3210</v>
      </c>
    </row>
    <row r="493" spans="1:14" ht="33.75" hidden="1" customHeight="1" x14ac:dyDescent="0.2">
      <c r="A493" s="259" t="s">
        <v>123</v>
      </c>
      <c r="B493" s="271">
        <v>800</v>
      </c>
      <c r="C493" s="252" t="s">
        <v>190</v>
      </c>
      <c r="D493" s="252" t="s">
        <v>194</v>
      </c>
      <c r="E493" s="260" t="s">
        <v>332</v>
      </c>
      <c r="F493" s="252"/>
      <c r="G493" s="256"/>
      <c r="H493" s="256"/>
      <c r="I493" s="257">
        <f>I494</f>
        <v>-1958.2</v>
      </c>
      <c r="J493" s="257">
        <f>J494</f>
        <v>-1958.2</v>
      </c>
      <c r="K493" s="257">
        <f>K494</f>
        <v>-1958.2</v>
      </c>
      <c r="L493" s="257">
        <f>L494</f>
        <v>-1958.2</v>
      </c>
      <c r="M493" s="257">
        <f t="shared" ref="M493:N493" si="268">M494</f>
        <v>-3916.4</v>
      </c>
      <c r="N493" s="257">
        <f t="shared" si="268"/>
        <v>-3916.4</v>
      </c>
    </row>
    <row r="494" spans="1:14" ht="15" hidden="1" x14ac:dyDescent="0.2">
      <c r="A494" s="259" t="s">
        <v>333</v>
      </c>
      <c r="B494" s="271">
        <v>800</v>
      </c>
      <c r="C494" s="252" t="s">
        <v>190</v>
      </c>
      <c r="D494" s="252" t="s">
        <v>194</v>
      </c>
      <c r="E494" s="260" t="s">
        <v>334</v>
      </c>
      <c r="F494" s="252"/>
      <c r="G494" s="256"/>
      <c r="H494" s="256"/>
      <c r="I494" s="257">
        <f>I495+I496+I497+I499+I502</f>
        <v>-1958.2</v>
      </c>
      <c r="J494" s="257">
        <f>J495+J496+J497+J499+J502</f>
        <v>-1958.2</v>
      </c>
      <c r="K494" s="257">
        <f>K495+K496+K497+K499+K502</f>
        <v>-1958.2</v>
      </c>
      <c r="L494" s="257">
        <f>L495+L496+L497+L499+L502</f>
        <v>-1958.2</v>
      </c>
      <c r="M494" s="257">
        <f t="shared" ref="M494:N494" si="269">M495+M496+M497+M499+M502</f>
        <v>-3916.4</v>
      </c>
      <c r="N494" s="257">
        <f t="shared" si="269"/>
        <v>-3916.4</v>
      </c>
    </row>
    <row r="495" spans="1:14" ht="15" hidden="1" x14ac:dyDescent="0.2">
      <c r="A495" s="259" t="s">
        <v>95</v>
      </c>
      <c r="B495" s="271">
        <v>800</v>
      </c>
      <c r="C495" s="252" t="s">
        <v>190</v>
      </c>
      <c r="D495" s="252" t="s">
        <v>194</v>
      </c>
      <c r="E495" s="260" t="s">
        <v>334</v>
      </c>
      <c r="F495" s="252" t="s">
        <v>96</v>
      </c>
      <c r="G495" s="256"/>
      <c r="H495" s="256"/>
      <c r="I495" s="257">
        <v>-1286.2</v>
      </c>
      <c r="J495" s="257">
        <f t="shared" ref="J495:J502" si="270">G495+I495</f>
        <v>-1286.2</v>
      </c>
      <c r="K495" s="257">
        <v>-1286.2</v>
      </c>
      <c r="L495" s="257">
        <f t="shared" ref="L495:L502" si="271">H495+J495</f>
        <v>-1286.2</v>
      </c>
      <c r="M495" s="257">
        <f t="shared" ref="M495:M502" si="272">I495+K495</f>
        <v>-2572.4</v>
      </c>
      <c r="N495" s="257">
        <f t="shared" ref="N495:N502" si="273">J495+L495</f>
        <v>-2572.4</v>
      </c>
    </row>
    <row r="496" spans="1:14" ht="15" hidden="1" x14ac:dyDescent="0.2">
      <c r="A496" s="259" t="s">
        <v>97</v>
      </c>
      <c r="B496" s="271">
        <v>800</v>
      </c>
      <c r="C496" s="252" t="s">
        <v>190</v>
      </c>
      <c r="D496" s="252" t="s">
        <v>194</v>
      </c>
      <c r="E496" s="260" t="s">
        <v>334</v>
      </c>
      <c r="F496" s="252" t="s">
        <v>98</v>
      </c>
      <c r="G496" s="256"/>
      <c r="H496" s="256"/>
      <c r="I496" s="257">
        <v>-152</v>
      </c>
      <c r="J496" s="257">
        <f t="shared" si="270"/>
        <v>-152</v>
      </c>
      <c r="K496" s="257">
        <v>-152</v>
      </c>
      <c r="L496" s="257">
        <f t="shared" si="271"/>
        <v>-152</v>
      </c>
      <c r="M496" s="257">
        <f t="shared" si="272"/>
        <v>-304</v>
      </c>
      <c r="N496" s="257">
        <f t="shared" si="273"/>
        <v>-304</v>
      </c>
    </row>
    <row r="497" spans="1:14" ht="17.25" hidden="1" customHeight="1" x14ac:dyDescent="0.2">
      <c r="A497" s="259" t="s">
        <v>99</v>
      </c>
      <c r="B497" s="271">
        <v>800</v>
      </c>
      <c r="C497" s="252" t="s">
        <v>190</v>
      </c>
      <c r="D497" s="252" t="s">
        <v>194</v>
      </c>
      <c r="E497" s="260" t="s">
        <v>334</v>
      </c>
      <c r="F497" s="252" t="s">
        <v>100</v>
      </c>
      <c r="G497" s="256"/>
      <c r="H497" s="256"/>
      <c r="I497" s="257">
        <v>-53</v>
      </c>
      <c r="J497" s="257">
        <f t="shared" si="270"/>
        <v>-53</v>
      </c>
      <c r="K497" s="257">
        <v>-53</v>
      </c>
      <c r="L497" s="257">
        <f t="shared" si="271"/>
        <v>-53</v>
      </c>
      <c r="M497" s="257">
        <f t="shared" si="272"/>
        <v>-106</v>
      </c>
      <c r="N497" s="257">
        <f t="shared" si="273"/>
        <v>-106</v>
      </c>
    </row>
    <row r="498" spans="1:14" ht="25.5" hidden="1" customHeight="1" x14ac:dyDescent="0.2">
      <c r="A498" s="259" t="s">
        <v>101</v>
      </c>
      <c r="B498" s="271">
        <v>800</v>
      </c>
      <c r="C498" s="252" t="s">
        <v>190</v>
      </c>
      <c r="D498" s="252" t="s">
        <v>194</v>
      </c>
      <c r="E498" s="260" t="s">
        <v>334</v>
      </c>
      <c r="F498" s="252" t="s">
        <v>102</v>
      </c>
      <c r="G498" s="256"/>
      <c r="H498" s="256"/>
      <c r="I498" s="257" t="e">
        <f>#REF!+G498</f>
        <v>#REF!</v>
      </c>
      <c r="J498" s="257" t="e">
        <f t="shared" si="270"/>
        <v>#REF!</v>
      </c>
      <c r="K498" s="257" t="e">
        <f>H498+I498</f>
        <v>#REF!</v>
      </c>
      <c r="L498" s="257" t="e">
        <f t="shared" si="271"/>
        <v>#REF!</v>
      </c>
      <c r="M498" s="257" t="e">
        <f t="shared" si="272"/>
        <v>#REF!</v>
      </c>
      <c r="N498" s="257" t="e">
        <f t="shared" si="273"/>
        <v>#REF!</v>
      </c>
    </row>
    <row r="499" spans="1:14" ht="15" hidden="1" customHeight="1" x14ac:dyDescent="0.2">
      <c r="A499" s="259" t="s">
        <v>93</v>
      </c>
      <c r="B499" s="271">
        <v>800</v>
      </c>
      <c r="C499" s="252" t="s">
        <v>190</v>
      </c>
      <c r="D499" s="252" t="s">
        <v>194</v>
      </c>
      <c r="E499" s="260" t="s">
        <v>334</v>
      </c>
      <c r="F499" s="252" t="s">
        <v>94</v>
      </c>
      <c r="G499" s="256"/>
      <c r="H499" s="256"/>
      <c r="I499" s="257">
        <v>-450</v>
      </c>
      <c r="J499" s="257">
        <f t="shared" si="270"/>
        <v>-450</v>
      </c>
      <c r="K499" s="257">
        <v>-450</v>
      </c>
      <c r="L499" s="257">
        <f t="shared" si="271"/>
        <v>-450</v>
      </c>
      <c r="M499" s="257">
        <f t="shared" si="272"/>
        <v>-900</v>
      </c>
      <c r="N499" s="257">
        <f t="shared" si="273"/>
        <v>-900</v>
      </c>
    </row>
    <row r="500" spans="1:14" ht="12.75" hidden="1" customHeight="1" x14ac:dyDescent="0.2">
      <c r="A500" s="259" t="s">
        <v>302</v>
      </c>
      <c r="B500" s="271">
        <v>800</v>
      </c>
      <c r="C500" s="252" t="s">
        <v>202</v>
      </c>
      <c r="D500" s="252" t="s">
        <v>212</v>
      </c>
      <c r="E500" s="260" t="s">
        <v>334</v>
      </c>
      <c r="F500" s="252" t="s">
        <v>303</v>
      </c>
      <c r="G500" s="256"/>
      <c r="H500" s="256"/>
      <c r="I500" s="257" t="e">
        <f>#REF!+G500</f>
        <v>#REF!</v>
      </c>
      <c r="J500" s="257" t="e">
        <f t="shared" si="270"/>
        <v>#REF!</v>
      </c>
      <c r="K500" s="257" t="e">
        <f>H500+I500</f>
        <v>#REF!</v>
      </c>
      <c r="L500" s="257" t="e">
        <f t="shared" si="271"/>
        <v>#REF!</v>
      </c>
      <c r="M500" s="257" t="e">
        <f t="shared" si="272"/>
        <v>#REF!</v>
      </c>
      <c r="N500" s="257" t="e">
        <f t="shared" si="273"/>
        <v>#REF!</v>
      </c>
    </row>
    <row r="501" spans="1:14" ht="12.75" hidden="1" customHeight="1" x14ac:dyDescent="0.2">
      <c r="A501" s="259" t="s">
        <v>63</v>
      </c>
      <c r="B501" s="271">
        <v>800</v>
      </c>
      <c r="C501" s="252" t="s">
        <v>190</v>
      </c>
      <c r="D501" s="252" t="s">
        <v>194</v>
      </c>
      <c r="E501" s="260" t="s">
        <v>334</v>
      </c>
      <c r="F501" s="252" t="s">
        <v>64</v>
      </c>
      <c r="G501" s="256"/>
      <c r="H501" s="256"/>
      <c r="I501" s="257" t="e">
        <f>#REF!+G501</f>
        <v>#REF!</v>
      </c>
      <c r="J501" s="257" t="e">
        <f t="shared" si="270"/>
        <v>#REF!</v>
      </c>
      <c r="K501" s="257" t="e">
        <f>H501+I501</f>
        <v>#REF!</v>
      </c>
      <c r="L501" s="257" t="e">
        <f t="shared" si="271"/>
        <v>#REF!</v>
      </c>
      <c r="M501" s="257" t="e">
        <f t="shared" si="272"/>
        <v>#REF!</v>
      </c>
      <c r="N501" s="257" t="e">
        <f t="shared" si="273"/>
        <v>#REF!</v>
      </c>
    </row>
    <row r="502" spans="1:14" ht="15" hidden="1" x14ac:dyDescent="0.2">
      <c r="A502" s="259" t="s">
        <v>103</v>
      </c>
      <c r="B502" s="271">
        <v>800</v>
      </c>
      <c r="C502" s="252" t="s">
        <v>190</v>
      </c>
      <c r="D502" s="252" t="s">
        <v>194</v>
      </c>
      <c r="E502" s="260" t="s">
        <v>334</v>
      </c>
      <c r="F502" s="252" t="s">
        <v>104</v>
      </c>
      <c r="G502" s="256"/>
      <c r="H502" s="256"/>
      <c r="I502" s="257">
        <v>-17</v>
      </c>
      <c r="J502" s="257">
        <f t="shared" si="270"/>
        <v>-17</v>
      </c>
      <c r="K502" s="257">
        <v>-17</v>
      </c>
      <c r="L502" s="257">
        <f t="shared" si="271"/>
        <v>-17</v>
      </c>
      <c r="M502" s="257">
        <f t="shared" si="272"/>
        <v>-34</v>
      </c>
      <c r="N502" s="257">
        <f t="shared" si="273"/>
        <v>-34</v>
      </c>
    </row>
    <row r="503" spans="1:14" ht="12.75" hidden="1" customHeight="1" x14ac:dyDescent="0.2">
      <c r="A503" s="259" t="s">
        <v>105</v>
      </c>
      <c r="B503" s="271">
        <v>800</v>
      </c>
      <c r="C503" s="252" t="s">
        <v>190</v>
      </c>
      <c r="D503" s="252" t="s">
        <v>194</v>
      </c>
      <c r="E503" s="260" t="s">
        <v>334</v>
      </c>
      <c r="F503" s="252" t="s">
        <v>106</v>
      </c>
      <c r="G503" s="256"/>
      <c r="H503" s="256"/>
      <c r="I503" s="257" t="e">
        <f>#REF!+G503</f>
        <v>#REF!</v>
      </c>
      <c r="J503" s="257" t="e">
        <f>#REF!+I503</f>
        <v>#REF!</v>
      </c>
      <c r="K503" s="257" t="e">
        <f>#REF!+I503</f>
        <v>#REF!</v>
      </c>
      <c r="L503" s="257" t="e">
        <f>F503+J503</f>
        <v>#REF!</v>
      </c>
      <c r="M503" s="257" t="e">
        <f t="shared" ref="M503:N503" si="274">G503+K503</f>
        <v>#REF!</v>
      </c>
      <c r="N503" s="257" t="e">
        <f t="shared" si="274"/>
        <v>#REF!</v>
      </c>
    </row>
    <row r="504" spans="1:14" ht="15" hidden="1" x14ac:dyDescent="0.2">
      <c r="A504" s="259" t="s">
        <v>309</v>
      </c>
      <c r="B504" s="271">
        <v>800</v>
      </c>
      <c r="C504" s="252" t="s">
        <v>190</v>
      </c>
      <c r="D504" s="252" t="s">
        <v>194</v>
      </c>
      <c r="E504" s="260" t="s">
        <v>310</v>
      </c>
      <c r="F504" s="252"/>
      <c r="G504" s="256"/>
      <c r="H504" s="256"/>
      <c r="I504" s="257">
        <f>I505</f>
        <v>-1321.6</v>
      </c>
      <c r="J504" s="257">
        <f>J505</f>
        <v>-1321.6</v>
      </c>
      <c r="K504" s="257">
        <f>K505</f>
        <v>-1321.6</v>
      </c>
      <c r="L504" s="257">
        <f>L505</f>
        <v>-1321.6</v>
      </c>
      <c r="M504" s="257">
        <f t="shared" ref="M504:N504" si="275">M505</f>
        <v>-2643.2</v>
      </c>
      <c r="N504" s="257">
        <f t="shared" si="275"/>
        <v>-2643.2</v>
      </c>
    </row>
    <row r="505" spans="1:14" ht="15" hidden="1" x14ac:dyDescent="0.2">
      <c r="A505" s="259" t="s">
        <v>95</v>
      </c>
      <c r="B505" s="271">
        <v>800</v>
      </c>
      <c r="C505" s="252" t="s">
        <v>190</v>
      </c>
      <c r="D505" s="252" t="s">
        <v>194</v>
      </c>
      <c r="E505" s="260" t="s">
        <v>310</v>
      </c>
      <c r="F505" s="252" t="s">
        <v>96</v>
      </c>
      <c r="G505" s="256"/>
      <c r="H505" s="256"/>
      <c r="I505" s="257">
        <v>-1321.6</v>
      </c>
      <c r="J505" s="257">
        <f>G505+I505</f>
        <v>-1321.6</v>
      </c>
      <c r="K505" s="257">
        <v>-1321.6</v>
      </c>
      <c r="L505" s="257">
        <f>H505+J505</f>
        <v>-1321.6</v>
      </c>
      <c r="M505" s="257">
        <f t="shared" ref="M505:N505" si="276">I505+K505</f>
        <v>-2643.2</v>
      </c>
      <c r="N505" s="257">
        <f t="shared" si="276"/>
        <v>-2643.2</v>
      </c>
    </row>
    <row r="506" spans="1:14" ht="29.25" hidden="1" customHeight="1" x14ac:dyDescent="0.2">
      <c r="A506" s="259" t="s">
        <v>452</v>
      </c>
      <c r="B506" s="271">
        <v>800</v>
      </c>
      <c r="C506" s="252" t="s">
        <v>190</v>
      </c>
      <c r="D506" s="252" t="s">
        <v>194</v>
      </c>
      <c r="E506" s="260" t="s">
        <v>450</v>
      </c>
      <c r="F506" s="252"/>
      <c r="G506" s="257">
        <f t="shared" ref="G506:K506" si="277">G507+G509</f>
        <v>0</v>
      </c>
      <c r="H506" s="257"/>
      <c r="I506" s="257">
        <f t="shared" si="277"/>
        <v>-3138.3999999999996</v>
      </c>
      <c r="J506" s="257" t="e">
        <f t="shared" si="277"/>
        <v>#REF!</v>
      </c>
      <c r="K506" s="257">
        <f t="shared" si="277"/>
        <v>-3138.3999999999996</v>
      </c>
      <c r="L506" s="257" t="e">
        <f>L507+L509</f>
        <v>#REF!</v>
      </c>
      <c r="M506" s="257" t="e">
        <f t="shared" ref="M506:N506" si="278">M507+M509</f>
        <v>#REF!</v>
      </c>
      <c r="N506" s="257" t="e">
        <f t="shared" si="278"/>
        <v>#REF!</v>
      </c>
    </row>
    <row r="507" spans="1:14" ht="18.75" hidden="1" customHeight="1" x14ac:dyDescent="0.2">
      <c r="A507" s="259" t="s">
        <v>451</v>
      </c>
      <c r="B507" s="271">
        <v>800</v>
      </c>
      <c r="C507" s="252" t="s">
        <v>190</v>
      </c>
      <c r="D507" s="252" t="s">
        <v>194</v>
      </c>
      <c r="E507" s="260" t="s">
        <v>485</v>
      </c>
      <c r="F507" s="252"/>
      <c r="G507" s="256"/>
      <c r="H507" s="256"/>
      <c r="I507" s="257">
        <f>I508</f>
        <v>-1512.8</v>
      </c>
      <c r="J507" s="257" t="e">
        <f>J508</f>
        <v>#REF!</v>
      </c>
      <c r="K507" s="257">
        <f>K508</f>
        <v>-1512.8</v>
      </c>
      <c r="L507" s="257" t="e">
        <f>L508</f>
        <v>#REF!</v>
      </c>
      <c r="M507" s="257" t="e">
        <f t="shared" ref="M507:N507" si="279">M508</f>
        <v>#REF!</v>
      </c>
      <c r="N507" s="257" t="e">
        <f t="shared" si="279"/>
        <v>#REF!</v>
      </c>
    </row>
    <row r="508" spans="1:14" ht="15.75" hidden="1" customHeight="1" x14ac:dyDescent="0.2">
      <c r="A508" s="259" t="s">
        <v>95</v>
      </c>
      <c r="B508" s="271">
        <v>800</v>
      </c>
      <c r="C508" s="252" t="s">
        <v>190</v>
      </c>
      <c r="D508" s="252" t="s">
        <v>194</v>
      </c>
      <c r="E508" s="260" t="s">
        <v>485</v>
      </c>
      <c r="F508" s="252" t="s">
        <v>96</v>
      </c>
      <c r="G508" s="256"/>
      <c r="H508" s="256"/>
      <c r="I508" s="257">
        <v>-1512.8</v>
      </c>
      <c r="J508" s="257" t="e">
        <f>#REF!+I508</f>
        <v>#REF!</v>
      </c>
      <c r="K508" s="257">
        <v>-1512.8</v>
      </c>
      <c r="L508" s="257" t="e">
        <f>#REF!+J508</f>
        <v>#REF!</v>
      </c>
      <c r="M508" s="257" t="e">
        <f>#REF!+K508</f>
        <v>#REF!</v>
      </c>
      <c r="N508" s="257" t="e">
        <f>#REF!+L508</f>
        <v>#REF!</v>
      </c>
    </row>
    <row r="509" spans="1:14" ht="27.75" hidden="1" customHeight="1" x14ac:dyDescent="0.2">
      <c r="A509" s="259" t="s">
        <v>736</v>
      </c>
      <c r="B509" s="271">
        <v>800</v>
      </c>
      <c r="C509" s="252" t="s">
        <v>190</v>
      </c>
      <c r="D509" s="252" t="s">
        <v>194</v>
      </c>
      <c r="E509" s="260" t="s">
        <v>486</v>
      </c>
      <c r="F509" s="252"/>
      <c r="G509" s="256"/>
      <c r="H509" s="256"/>
      <c r="I509" s="257">
        <f>I510+I511+I512+I513+I514</f>
        <v>-1625.6</v>
      </c>
      <c r="J509" s="257" t="e">
        <f>J510+J511+J512+J513+J514</f>
        <v>#REF!</v>
      </c>
      <c r="K509" s="257">
        <f>K510+K511+K512+K513+K514</f>
        <v>-1625.6</v>
      </c>
      <c r="L509" s="257" t="e">
        <f>L510+L511+L512+L513+L514</f>
        <v>#REF!</v>
      </c>
      <c r="M509" s="257" t="e">
        <f t="shared" ref="M509:N509" si="280">M510+M511+M512+M513+M514</f>
        <v>#REF!</v>
      </c>
      <c r="N509" s="257" t="e">
        <f t="shared" si="280"/>
        <v>#REF!</v>
      </c>
    </row>
    <row r="510" spans="1:14" s="20" customFormat="1" ht="13.5" hidden="1" customHeight="1" x14ac:dyDescent="0.2">
      <c r="A510" s="259" t="s">
        <v>95</v>
      </c>
      <c r="B510" s="271">
        <v>800</v>
      </c>
      <c r="C510" s="252" t="s">
        <v>190</v>
      </c>
      <c r="D510" s="252" t="s">
        <v>194</v>
      </c>
      <c r="E510" s="260" t="s">
        <v>486</v>
      </c>
      <c r="F510" s="252" t="s">
        <v>96</v>
      </c>
      <c r="G510" s="256"/>
      <c r="H510" s="256"/>
      <c r="I510" s="257">
        <v>-1288.5999999999999</v>
      </c>
      <c r="J510" s="257" t="e">
        <f>#REF!+I510</f>
        <v>#REF!</v>
      </c>
      <c r="K510" s="257">
        <v>-1288.5999999999999</v>
      </c>
      <c r="L510" s="257" t="e">
        <f>#REF!+J510</f>
        <v>#REF!</v>
      </c>
      <c r="M510" s="257" t="e">
        <f>#REF!+K510</f>
        <v>#REF!</v>
      </c>
      <c r="N510" s="257" t="e">
        <f>#REF!+L510</f>
        <v>#REF!</v>
      </c>
    </row>
    <row r="511" spans="1:14" ht="13.5" hidden="1" customHeight="1" x14ac:dyDescent="0.2">
      <c r="A511" s="259" t="s">
        <v>97</v>
      </c>
      <c r="B511" s="271">
        <v>800</v>
      </c>
      <c r="C511" s="252" t="s">
        <v>190</v>
      </c>
      <c r="D511" s="252" t="s">
        <v>194</v>
      </c>
      <c r="E511" s="260" t="s">
        <v>486</v>
      </c>
      <c r="F511" s="271" t="s">
        <v>98</v>
      </c>
      <c r="G511" s="256"/>
      <c r="H511" s="256"/>
      <c r="I511" s="257">
        <v>-35</v>
      </c>
      <c r="J511" s="257" t="e">
        <f>#REF!+I511</f>
        <v>#REF!</v>
      </c>
      <c r="K511" s="257">
        <v>-35</v>
      </c>
      <c r="L511" s="257" t="e">
        <f>#REF!+J511</f>
        <v>#REF!</v>
      </c>
      <c r="M511" s="257" t="e">
        <f>#REF!+K511</f>
        <v>#REF!</v>
      </c>
      <c r="N511" s="257" t="e">
        <f>#REF!+L511</f>
        <v>#REF!</v>
      </c>
    </row>
    <row r="512" spans="1:14" ht="28.5" hidden="1" customHeight="1" x14ac:dyDescent="0.2">
      <c r="A512" s="259" t="s">
        <v>99</v>
      </c>
      <c r="B512" s="271">
        <v>800</v>
      </c>
      <c r="C512" s="252" t="s">
        <v>190</v>
      </c>
      <c r="D512" s="252" t="s">
        <v>194</v>
      </c>
      <c r="E512" s="260" t="s">
        <v>486</v>
      </c>
      <c r="F512" s="252" t="s">
        <v>100</v>
      </c>
      <c r="G512" s="256"/>
      <c r="H512" s="256"/>
      <c r="I512" s="257">
        <v>-85</v>
      </c>
      <c r="J512" s="257" t="e">
        <f>#REF!+I512</f>
        <v>#REF!</v>
      </c>
      <c r="K512" s="257">
        <v>-85</v>
      </c>
      <c r="L512" s="257" t="e">
        <f>#REF!+J512</f>
        <v>#REF!</v>
      </c>
      <c r="M512" s="257" t="e">
        <f>#REF!+K512</f>
        <v>#REF!</v>
      </c>
      <c r="N512" s="257" t="e">
        <f>#REF!+L512</f>
        <v>#REF!</v>
      </c>
    </row>
    <row r="513" spans="1:14" ht="23.25" hidden="1" customHeight="1" x14ac:dyDescent="0.2">
      <c r="A513" s="259" t="s">
        <v>93</v>
      </c>
      <c r="B513" s="271">
        <v>800</v>
      </c>
      <c r="C513" s="252" t="s">
        <v>190</v>
      </c>
      <c r="D513" s="252" t="s">
        <v>194</v>
      </c>
      <c r="E513" s="260" t="s">
        <v>486</v>
      </c>
      <c r="F513" s="252" t="s">
        <v>94</v>
      </c>
      <c r="G513" s="256"/>
      <c r="H513" s="256"/>
      <c r="I513" s="257">
        <v>-200</v>
      </c>
      <c r="J513" s="257" t="e">
        <f>#REF!+I513</f>
        <v>#REF!</v>
      </c>
      <c r="K513" s="257">
        <v>-200</v>
      </c>
      <c r="L513" s="257" t="e">
        <f>#REF!+J513</f>
        <v>#REF!</v>
      </c>
      <c r="M513" s="257" t="e">
        <f>#REF!+K513</f>
        <v>#REF!</v>
      </c>
      <c r="N513" s="257" t="e">
        <f>#REF!+L513</f>
        <v>#REF!</v>
      </c>
    </row>
    <row r="514" spans="1:14" s="20" customFormat="1" ht="18.75" hidden="1" customHeight="1" x14ac:dyDescent="0.2">
      <c r="A514" s="259" t="s">
        <v>103</v>
      </c>
      <c r="B514" s="252">
        <v>800</v>
      </c>
      <c r="C514" s="252" t="s">
        <v>190</v>
      </c>
      <c r="D514" s="252" t="s">
        <v>194</v>
      </c>
      <c r="E514" s="252" t="s">
        <v>486</v>
      </c>
      <c r="F514" s="252" t="s">
        <v>104</v>
      </c>
      <c r="G514" s="256"/>
      <c r="H514" s="256"/>
      <c r="I514" s="257">
        <v>-17</v>
      </c>
      <c r="J514" s="257" t="e">
        <f>#REF!+I514</f>
        <v>#REF!</v>
      </c>
      <c r="K514" s="257">
        <v>-17</v>
      </c>
      <c r="L514" s="257" t="e">
        <f>#REF!+J514</f>
        <v>#REF!</v>
      </c>
      <c r="M514" s="257" t="e">
        <f>#REF!+K514</f>
        <v>#REF!</v>
      </c>
      <c r="N514" s="257" t="e">
        <f>#REF!+L514</f>
        <v>#REF!</v>
      </c>
    </row>
    <row r="515" spans="1:14" s="20" customFormat="1" ht="33" customHeight="1" x14ac:dyDescent="0.2">
      <c r="A515" s="259" t="s">
        <v>452</v>
      </c>
      <c r="B515" s="252">
        <v>800</v>
      </c>
      <c r="C515" s="252" t="s">
        <v>190</v>
      </c>
      <c r="D515" s="252" t="s">
        <v>194</v>
      </c>
      <c r="E515" s="252" t="s">
        <v>866</v>
      </c>
      <c r="F515" s="252"/>
      <c r="G515" s="265">
        <f>G516+G519</f>
        <v>0</v>
      </c>
      <c r="H515" s="265">
        <f t="shared" ref="H515:N515" si="281">H516</f>
        <v>1495</v>
      </c>
      <c r="I515" s="265">
        <f t="shared" si="281"/>
        <v>0</v>
      </c>
      <c r="J515" s="265">
        <f t="shared" si="281"/>
        <v>1495</v>
      </c>
      <c r="K515" s="265">
        <f t="shared" si="281"/>
        <v>0</v>
      </c>
      <c r="L515" s="265">
        <f t="shared" si="281"/>
        <v>1502</v>
      </c>
      <c r="M515" s="265">
        <f t="shared" si="281"/>
        <v>0</v>
      </c>
      <c r="N515" s="265">
        <f t="shared" si="281"/>
        <v>1502</v>
      </c>
    </row>
    <row r="516" spans="1:14" s="20" customFormat="1" ht="18.75" customHeight="1" x14ac:dyDescent="0.2">
      <c r="A516" s="259" t="s">
        <v>451</v>
      </c>
      <c r="B516" s="252">
        <v>800</v>
      </c>
      <c r="C516" s="252" t="s">
        <v>190</v>
      </c>
      <c r="D516" s="252" t="s">
        <v>194</v>
      </c>
      <c r="E516" s="252" t="s">
        <v>895</v>
      </c>
      <c r="F516" s="252"/>
      <c r="G516" s="256"/>
      <c r="H516" s="257">
        <f>H517+H518</f>
        <v>1495</v>
      </c>
      <c r="I516" s="257">
        <f>I517+I518</f>
        <v>0</v>
      </c>
      <c r="J516" s="257">
        <f>H516+I516</f>
        <v>1495</v>
      </c>
      <c r="K516" s="257">
        <f>K517+K518</f>
        <v>0</v>
      </c>
      <c r="L516" s="257">
        <f>L517+L518</f>
        <v>1502</v>
      </c>
      <c r="M516" s="257">
        <f t="shared" ref="M516:N516" si="282">M517+M518</f>
        <v>0</v>
      </c>
      <c r="N516" s="257">
        <f t="shared" si="282"/>
        <v>1502</v>
      </c>
    </row>
    <row r="517" spans="1:14" s="20" customFormat="1" ht="18.75" customHeight="1" x14ac:dyDescent="0.2">
      <c r="A517" s="259" t="s">
        <v>95</v>
      </c>
      <c r="B517" s="252">
        <v>800</v>
      </c>
      <c r="C517" s="252" t="s">
        <v>190</v>
      </c>
      <c r="D517" s="252" t="s">
        <v>194</v>
      </c>
      <c r="E517" s="252" t="s">
        <v>895</v>
      </c>
      <c r="F517" s="252" t="s">
        <v>96</v>
      </c>
      <c r="G517" s="256"/>
      <c r="H517" s="257">
        <v>1495</v>
      </c>
      <c r="I517" s="257">
        <v>-347</v>
      </c>
      <c r="J517" s="257">
        <f>H517+I517</f>
        <v>1148</v>
      </c>
      <c r="K517" s="257">
        <v>0</v>
      </c>
      <c r="L517" s="257">
        <v>1154</v>
      </c>
      <c r="M517" s="257">
        <v>0</v>
      </c>
      <c r="N517" s="257">
        <v>1154</v>
      </c>
    </row>
    <row r="518" spans="1:14" s="20" customFormat="1" ht="32.25" customHeight="1" x14ac:dyDescent="0.2">
      <c r="A518" s="361" t="s">
        <v>898</v>
      </c>
      <c r="B518" s="252">
        <v>800</v>
      </c>
      <c r="C518" s="252" t="s">
        <v>190</v>
      </c>
      <c r="D518" s="252" t="s">
        <v>194</v>
      </c>
      <c r="E518" s="252" t="s">
        <v>895</v>
      </c>
      <c r="F518" s="252" t="s">
        <v>896</v>
      </c>
      <c r="G518" s="256"/>
      <c r="H518" s="257">
        <v>0</v>
      </c>
      <c r="I518" s="257">
        <v>347</v>
      </c>
      <c r="J518" s="257">
        <f>H518+I518</f>
        <v>347</v>
      </c>
      <c r="K518" s="257">
        <v>0</v>
      </c>
      <c r="L518" s="257">
        <v>348</v>
      </c>
      <c r="M518" s="257">
        <v>0</v>
      </c>
      <c r="N518" s="257">
        <v>348</v>
      </c>
    </row>
    <row r="519" spans="1:14" s="20" customFormat="1" ht="26.25" customHeight="1" x14ac:dyDescent="0.2">
      <c r="A519" s="259" t="s">
        <v>736</v>
      </c>
      <c r="B519" s="252">
        <v>800</v>
      </c>
      <c r="C519" s="252" t="s">
        <v>190</v>
      </c>
      <c r="D519" s="252" t="s">
        <v>194</v>
      </c>
      <c r="E519" s="252" t="s">
        <v>866</v>
      </c>
      <c r="F519" s="252"/>
      <c r="G519" s="265">
        <f>G520+G523+G524+G525+G526</f>
        <v>0</v>
      </c>
      <c r="H519" s="265">
        <f>H520+H521+H522+H523+H524+H525+H526+H527</f>
        <v>1855</v>
      </c>
      <c r="I519" s="265">
        <f>I520+I521+I522+I523+I524+I525+I526+I527</f>
        <v>0</v>
      </c>
      <c r="J519" s="265">
        <f>J520+J521+J522+J523+J524+J525+J526+J527</f>
        <v>1855</v>
      </c>
      <c r="K519" s="265">
        <f>K520+K521+K522+K523+K524+K525+K526+K527+K528</f>
        <v>0</v>
      </c>
      <c r="L519" s="265">
        <f>L520+L521+L522+L523+L524+L525+L526</f>
        <v>1924</v>
      </c>
      <c r="M519" s="265">
        <f t="shared" ref="M519:N519" si="283">M520+M521+M522+M523+M524+M525+M526</f>
        <v>-216</v>
      </c>
      <c r="N519" s="265">
        <f t="shared" si="283"/>
        <v>1708</v>
      </c>
    </row>
    <row r="520" spans="1:14" s="20" customFormat="1" ht="18.75" customHeight="1" x14ac:dyDescent="0.2">
      <c r="A520" s="259" t="s">
        <v>95</v>
      </c>
      <c r="B520" s="252">
        <v>800</v>
      </c>
      <c r="C520" s="252" t="s">
        <v>190</v>
      </c>
      <c r="D520" s="252" t="s">
        <v>194</v>
      </c>
      <c r="E520" s="252" t="s">
        <v>866</v>
      </c>
      <c r="F520" s="252" t="s">
        <v>96</v>
      </c>
      <c r="G520" s="256"/>
      <c r="H520" s="257">
        <v>1384</v>
      </c>
      <c r="I520" s="257">
        <v>-321</v>
      </c>
      <c r="J520" s="257">
        <f>H520+I520</f>
        <v>1063</v>
      </c>
      <c r="K520" s="257">
        <v>0</v>
      </c>
      <c r="L520" s="257">
        <v>1081</v>
      </c>
      <c r="M520" s="257">
        <v>36</v>
      </c>
      <c r="N520" s="257">
        <f>L520+M520</f>
        <v>1117</v>
      </c>
    </row>
    <row r="521" spans="1:14" s="20" customFormat="1" ht="18.75" customHeight="1" x14ac:dyDescent="0.2">
      <c r="A521" s="259" t="s">
        <v>97</v>
      </c>
      <c r="B521" s="252">
        <v>800</v>
      </c>
      <c r="C521" s="252" t="s">
        <v>190</v>
      </c>
      <c r="D521" s="252" t="s">
        <v>194</v>
      </c>
      <c r="E521" s="252" t="s">
        <v>866</v>
      </c>
      <c r="F521" s="252" t="s">
        <v>98</v>
      </c>
      <c r="G521" s="256"/>
      <c r="H521" s="257">
        <v>230</v>
      </c>
      <c r="I521" s="257">
        <v>-200</v>
      </c>
      <c r="J521" s="257">
        <f t="shared" ref="J521:J527" si="284">H521+I521</f>
        <v>30</v>
      </c>
      <c r="K521" s="257">
        <v>0</v>
      </c>
      <c r="L521" s="257">
        <v>20</v>
      </c>
      <c r="M521" s="257">
        <v>-20</v>
      </c>
      <c r="N521" s="257">
        <f t="shared" ref="N521:N526" si="285">L521+M521</f>
        <v>0</v>
      </c>
    </row>
    <row r="522" spans="1:14" s="20" customFormat="1" ht="41.25" customHeight="1" x14ac:dyDescent="0.2">
      <c r="A522" s="361" t="s">
        <v>904</v>
      </c>
      <c r="B522" s="252">
        <v>800</v>
      </c>
      <c r="C522" s="252" t="s">
        <v>190</v>
      </c>
      <c r="D522" s="252" t="s">
        <v>194</v>
      </c>
      <c r="E522" s="252" t="s">
        <v>866</v>
      </c>
      <c r="F522" s="252" t="s">
        <v>903</v>
      </c>
      <c r="G522" s="256"/>
      <c r="H522" s="257">
        <v>0</v>
      </c>
      <c r="I522" s="257">
        <v>200</v>
      </c>
      <c r="J522" s="257">
        <f t="shared" si="284"/>
        <v>200</v>
      </c>
      <c r="K522" s="257">
        <v>0</v>
      </c>
      <c r="L522" s="257">
        <v>200</v>
      </c>
      <c r="M522" s="257">
        <v>4</v>
      </c>
      <c r="N522" s="257">
        <f t="shared" si="285"/>
        <v>204</v>
      </c>
    </row>
    <row r="523" spans="1:14" s="20" customFormat="1" ht="35.25" customHeight="1" x14ac:dyDescent="0.2">
      <c r="A523" s="361" t="s">
        <v>898</v>
      </c>
      <c r="B523" s="252">
        <v>800</v>
      </c>
      <c r="C523" s="252" t="s">
        <v>190</v>
      </c>
      <c r="D523" s="252" t="s">
        <v>194</v>
      </c>
      <c r="E523" s="252" t="s">
        <v>866</v>
      </c>
      <c r="F523" s="252" t="s">
        <v>896</v>
      </c>
      <c r="G523" s="256"/>
      <c r="H523" s="257">
        <v>0</v>
      </c>
      <c r="I523" s="257">
        <v>321</v>
      </c>
      <c r="J523" s="257">
        <f t="shared" si="284"/>
        <v>321</v>
      </c>
      <c r="K523" s="257">
        <v>0</v>
      </c>
      <c r="L523" s="257">
        <v>327</v>
      </c>
      <c r="M523" s="257">
        <v>10</v>
      </c>
      <c r="N523" s="257">
        <f t="shared" si="285"/>
        <v>337</v>
      </c>
    </row>
    <row r="524" spans="1:14" s="20" customFormat="1" ht="18.75" customHeight="1" x14ac:dyDescent="0.2">
      <c r="A524" s="259" t="s">
        <v>99</v>
      </c>
      <c r="B524" s="252">
        <v>800</v>
      </c>
      <c r="C524" s="252" t="s">
        <v>190</v>
      </c>
      <c r="D524" s="252" t="s">
        <v>194</v>
      </c>
      <c r="E524" s="252" t="s">
        <v>866</v>
      </c>
      <c r="F524" s="252" t="s">
        <v>100</v>
      </c>
      <c r="G524" s="256"/>
      <c r="H524" s="257">
        <v>31</v>
      </c>
      <c r="I524" s="257">
        <v>0</v>
      </c>
      <c r="J524" s="257">
        <f t="shared" si="284"/>
        <v>31</v>
      </c>
      <c r="K524" s="257">
        <v>0</v>
      </c>
      <c r="L524" s="257">
        <v>63</v>
      </c>
      <c r="M524" s="257">
        <v>-63</v>
      </c>
      <c r="N524" s="257">
        <f t="shared" si="285"/>
        <v>0</v>
      </c>
    </row>
    <row r="525" spans="1:14" s="20" customFormat="1" ht="18.75" customHeight="1" x14ac:dyDescent="0.2">
      <c r="A525" s="259" t="s">
        <v>93</v>
      </c>
      <c r="B525" s="252">
        <v>800</v>
      </c>
      <c r="C525" s="252" t="s">
        <v>190</v>
      </c>
      <c r="D525" s="252" t="s">
        <v>194</v>
      </c>
      <c r="E525" s="252" t="s">
        <v>866</v>
      </c>
      <c r="F525" s="252" t="s">
        <v>94</v>
      </c>
      <c r="G525" s="256"/>
      <c r="H525" s="257">
        <v>200</v>
      </c>
      <c r="I525" s="257">
        <v>0</v>
      </c>
      <c r="J525" s="257">
        <f t="shared" si="284"/>
        <v>200</v>
      </c>
      <c r="K525" s="257">
        <v>0</v>
      </c>
      <c r="L525" s="257">
        <v>230</v>
      </c>
      <c r="M525" s="257">
        <v>-180</v>
      </c>
      <c r="N525" s="257">
        <f t="shared" si="285"/>
        <v>50</v>
      </c>
    </row>
    <row r="526" spans="1:14" s="20" customFormat="1" ht="18.75" customHeight="1" x14ac:dyDescent="0.2">
      <c r="A526" s="259" t="s">
        <v>103</v>
      </c>
      <c r="B526" s="252">
        <v>800</v>
      </c>
      <c r="C526" s="252" t="s">
        <v>190</v>
      </c>
      <c r="D526" s="252" t="s">
        <v>194</v>
      </c>
      <c r="E526" s="252" t="s">
        <v>866</v>
      </c>
      <c r="F526" s="252" t="s">
        <v>104</v>
      </c>
      <c r="G526" s="256"/>
      <c r="H526" s="257">
        <v>10</v>
      </c>
      <c r="I526" s="257">
        <v>-0.62</v>
      </c>
      <c r="J526" s="257">
        <f t="shared" si="284"/>
        <v>9.3800000000000008</v>
      </c>
      <c r="K526" s="257">
        <v>-0.04</v>
      </c>
      <c r="L526" s="257">
        <v>3</v>
      </c>
      <c r="M526" s="257">
        <v>-3</v>
      </c>
      <c r="N526" s="257">
        <f t="shared" si="285"/>
        <v>0</v>
      </c>
    </row>
    <row r="527" spans="1:14" s="20" customFormat="1" ht="18.75" hidden="1" customHeight="1" x14ac:dyDescent="0.2">
      <c r="A527" s="259" t="s">
        <v>400</v>
      </c>
      <c r="B527" s="252">
        <v>800</v>
      </c>
      <c r="C527" s="252" t="s">
        <v>190</v>
      </c>
      <c r="D527" s="252" t="s">
        <v>194</v>
      </c>
      <c r="E527" s="252" t="s">
        <v>866</v>
      </c>
      <c r="F527" s="252" t="s">
        <v>106</v>
      </c>
      <c r="G527" s="256"/>
      <c r="H527" s="257">
        <v>0</v>
      </c>
      <c r="I527" s="257">
        <v>0.62</v>
      </c>
      <c r="J527" s="257">
        <f t="shared" si="284"/>
        <v>0.62</v>
      </c>
      <c r="K527" s="257">
        <v>0</v>
      </c>
      <c r="L527" s="257">
        <v>0</v>
      </c>
      <c r="M527" s="257"/>
      <c r="N527" s="257">
        <v>0</v>
      </c>
    </row>
    <row r="528" spans="1:14" s="20" customFormat="1" ht="18.75" hidden="1" customHeight="1" x14ac:dyDescent="0.2">
      <c r="A528" s="259" t="s">
        <v>906</v>
      </c>
      <c r="B528" s="252">
        <v>800</v>
      </c>
      <c r="C528" s="252" t="s">
        <v>190</v>
      </c>
      <c r="D528" s="252" t="s">
        <v>194</v>
      </c>
      <c r="E528" s="252" t="s">
        <v>866</v>
      </c>
      <c r="F528" s="252" t="s">
        <v>905</v>
      </c>
      <c r="G528" s="256"/>
      <c r="H528" s="257"/>
      <c r="I528" s="257"/>
      <c r="J528" s="257"/>
      <c r="K528" s="257">
        <v>0.04</v>
      </c>
      <c r="L528" s="257">
        <v>0</v>
      </c>
      <c r="M528" s="257"/>
      <c r="N528" s="257">
        <v>0</v>
      </c>
    </row>
    <row r="529" spans="1:14" s="20" customFormat="1" ht="30.75" customHeight="1" x14ac:dyDescent="0.2">
      <c r="A529" s="398" t="s">
        <v>199</v>
      </c>
      <c r="B529" s="250" t="s">
        <v>698</v>
      </c>
      <c r="C529" s="250" t="s">
        <v>190</v>
      </c>
      <c r="D529" s="250" t="s">
        <v>200</v>
      </c>
      <c r="E529" s="250"/>
      <c r="F529" s="252"/>
      <c r="G529" s="257">
        <f>G530+G536</f>
        <v>0</v>
      </c>
      <c r="H529" s="257">
        <f t="shared" ref="H529:L529" si="286">H536</f>
        <v>1079.5</v>
      </c>
      <c r="I529" s="257">
        <f t="shared" si="286"/>
        <v>0</v>
      </c>
      <c r="J529" s="257">
        <f t="shared" si="286"/>
        <v>1079.5</v>
      </c>
      <c r="K529" s="257">
        <f t="shared" si="286"/>
        <v>0</v>
      </c>
      <c r="L529" s="257">
        <f t="shared" si="286"/>
        <v>1066</v>
      </c>
      <c r="M529" s="257">
        <f t="shared" ref="M529:N529" si="287">M536</f>
        <v>-109</v>
      </c>
      <c r="N529" s="257">
        <f t="shared" si="287"/>
        <v>957</v>
      </c>
    </row>
    <row r="530" spans="1:14" ht="21" hidden="1" customHeight="1" x14ac:dyDescent="0.2">
      <c r="A530" s="259" t="s">
        <v>451</v>
      </c>
      <c r="B530" s="271">
        <v>800</v>
      </c>
      <c r="C530" s="252" t="s">
        <v>190</v>
      </c>
      <c r="D530" s="252" t="s">
        <v>200</v>
      </c>
      <c r="E530" s="260" t="s">
        <v>485</v>
      </c>
      <c r="F530" s="252"/>
      <c r="G530" s="256"/>
      <c r="H530" s="256"/>
      <c r="I530" s="257">
        <f>I531+I532+I533+I534+I535</f>
        <v>-836</v>
      </c>
      <c r="J530" s="257" t="e">
        <f>J531+J532+J533+J534+J535</f>
        <v>#REF!</v>
      </c>
      <c r="K530" s="257">
        <f>K531+K532+K533+K534+K535</f>
        <v>-836</v>
      </c>
      <c r="L530" s="257" t="e">
        <f>L531+L532+L533+L534+L535</f>
        <v>#REF!</v>
      </c>
      <c r="M530" s="257" t="e">
        <f t="shared" ref="M530:N530" si="288">M531+M532+M533+M534+M535</f>
        <v>#REF!</v>
      </c>
      <c r="N530" s="257" t="e">
        <f t="shared" si="288"/>
        <v>#REF!</v>
      </c>
    </row>
    <row r="531" spans="1:14" ht="13.5" hidden="1" customHeight="1" x14ac:dyDescent="0.2">
      <c r="A531" s="259" t="s">
        <v>95</v>
      </c>
      <c r="B531" s="271">
        <v>800</v>
      </c>
      <c r="C531" s="252" t="s">
        <v>190</v>
      </c>
      <c r="D531" s="252" t="s">
        <v>200</v>
      </c>
      <c r="E531" s="260" t="s">
        <v>485</v>
      </c>
      <c r="F531" s="252" t="s">
        <v>96</v>
      </c>
      <c r="G531" s="256"/>
      <c r="H531" s="256"/>
      <c r="I531" s="257">
        <v>-750</v>
      </c>
      <c r="J531" s="257" t="e">
        <f>#REF!+I531</f>
        <v>#REF!</v>
      </c>
      <c r="K531" s="257">
        <v>-750</v>
      </c>
      <c r="L531" s="257" t="e">
        <f>#REF!+J531</f>
        <v>#REF!</v>
      </c>
      <c r="M531" s="257" t="e">
        <f>#REF!+K531</f>
        <v>#REF!</v>
      </c>
      <c r="N531" s="257" t="e">
        <f>#REF!+L531</f>
        <v>#REF!</v>
      </c>
    </row>
    <row r="532" spans="1:14" ht="13.5" hidden="1" customHeight="1" x14ac:dyDescent="0.2">
      <c r="A532" s="259" t="s">
        <v>97</v>
      </c>
      <c r="B532" s="271">
        <v>800</v>
      </c>
      <c r="C532" s="252" t="s">
        <v>190</v>
      </c>
      <c r="D532" s="252" t="s">
        <v>200</v>
      </c>
      <c r="E532" s="260" t="s">
        <v>485</v>
      </c>
      <c r="F532" s="271" t="s">
        <v>98</v>
      </c>
      <c r="G532" s="256"/>
      <c r="H532" s="256"/>
      <c r="I532" s="257">
        <v>-36</v>
      </c>
      <c r="J532" s="257" t="e">
        <f>#REF!+I532</f>
        <v>#REF!</v>
      </c>
      <c r="K532" s="257">
        <v>-36</v>
      </c>
      <c r="L532" s="257" t="e">
        <f>#REF!+J532</f>
        <v>#REF!</v>
      </c>
      <c r="M532" s="257" t="e">
        <f>#REF!+K532</f>
        <v>#REF!</v>
      </c>
      <c r="N532" s="257" t="e">
        <f>#REF!+L532</f>
        <v>#REF!</v>
      </c>
    </row>
    <row r="533" spans="1:14" ht="27" hidden="1" customHeight="1" x14ac:dyDescent="0.2">
      <c r="A533" s="259" t="s">
        <v>99</v>
      </c>
      <c r="B533" s="271">
        <v>800</v>
      </c>
      <c r="C533" s="252" t="s">
        <v>190</v>
      </c>
      <c r="D533" s="252" t="s">
        <v>200</v>
      </c>
      <c r="E533" s="260" t="s">
        <v>485</v>
      </c>
      <c r="F533" s="252" t="s">
        <v>100</v>
      </c>
      <c r="G533" s="256"/>
      <c r="H533" s="256"/>
      <c r="I533" s="257">
        <v>0</v>
      </c>
      <c r="J533" s="257" t="e">
        <f>#REF!+I533</f>
        <v>#REF!</v>
      </c>
      <c r="K533" s="257">
        <v>0</v>
      </c>
      <c r="L533" s="257" t="e">
        <f>#REF!+J533</f>
        <v>#REF!</v>
      </c>
      <c r="M533" s="257" t="e">
        <f>#REF!+K533</f>
        <v>#REF!</v>
      </c>
      <c r="N533" s="257" t="e">
        <f>#REF!+L533</f>
        <v>#REF!</v>
      </c>
    </row>
    <row r="534" spans="1:14" ht="20.25" hidden="1" customHeight="1" x14ac:dyDescent="0.2">
      <c r="A534" s="259" t="s">
        <v>93</v>
      </c>
      <c r="B534" s="271">
        <v>800</v>
      </c>
      <c r="C534" s="252" t="s">
        <v>190</v>
      </c>
      <c r="D534" s="252" t="s">
        <v>200</v>
      </c>
      <c r="E534" s="260" t="s">
        <v>485</v>
      </c>
      <c r="F534" s="252" t="s">
        <v>94</v>
      </c>
      <c r="G534" s="256"/>
      <c r="H534" s="256"/>
      <c r="I534" s="257">
        <v>-50</v>
      </c>
      <c r="J534" s="257" t="e">
        <f>#REF!+I534</f>
        <v>#REF!</v>
      </c>
      <c r="K534" s="257">
        <v>-50</v>
      </c>
      <c r="L534" s="257" t="e">
        <f>#REF!+J534</f>
        <v>#REF!</v>
      </c>
      <c r="M534" s="257" t="e">
        <f>#REF!+K534</f>
        <v>#REF!</v>
      </c>
      <c r="N534" s="257" t="e">
        <f>#REF!+L534</f>
        <v>#REF!</v>
      </c>
    </row>
    <row r="535" spans="1:14" ht="13.5" hidden="1" customHeight="1" x14ac:dyDescent="0.2">
      <c r="A535" s="259" t="s">
        <v>103</v>
      </c>
      <c r="B535" s="252">
        <v>800</v>
      </c>
      <c r="C535" s="252" t="s">
        <v>190</v>
      </c>
      <c r="D535" s="252" t="s">
        <v>200</v>
      </c>
      <c r="E535" s="260" t="s">
        <v>485</v>
      </c>
      <c r="F535" s="252" t="s">
        <v>104</v>
      </c>
      <c r="G535" s="256"/>
      <c r="H535" s="256"/>
      <c r="I535" s="257">
        <v>0</v>
      </c>
      <c r="J535" s="257">
        <f>G535+I535</f>
        <v>0</v>
      </c>
      <c r="K535" s="257">
        <v>0</v>
      </c>
      <c r="L535" s="257">
        <f>H535+J535</f>
        <v>0</v>
      </c>
      <c r="M535" s="257">
        <f t="shared" ref="M535:N535" si="289">I535+K535</f>
        <v>0</v>
      </c>
      <c r="N535" s="257">
        <f t="shared" si="289"/>
        <v>0</v>
      </c>
    </row>
    <row r="536" spans="1:14" ht="19.5" customHeight="1" x14ac:dyDescent="0.2">
      <c r="A536" s="259" t="s">
        <v>451</v>
      </c>
      <c r="B536" s="252">
        <v>800</v>
      </c>
      <c r="C536" s="252" t="s">
        <v>190</v>
      </c>
      <c r="D536" s="252" t="s">
        <v>200</v>
      </c>
      <c r="E536" s="260" t="s">
        <v>866</v>
      </c>
      <c r="F536" s="252"/>
      <c r="G536" s="265">
        <f>G537+G539+G541</f>
        <v>0</v>
      </c>
      <c r="H536" s="265">
        <f>H537+H538+H539+H541</f>
        <v>1079.5</v>
      </c>
      <c r="I536" s="265">
        <f>I537+I538+I539+I541</f>
        <v>0</v>
      </c>
      <c r="J536" s="265">
        <f>J537+J538+J539+J541</f>
        <v>1079.5</v>
      </c>
      <c r="K536" s="265">
        <f>K537+K538+K539+K541+K540</f>
        <v>0</v>
      </c>
      <c r="L536" s="265">
        <f>L537+L538+L539+L540+L541</f>
        <v>1066</v>
      </c>
      <c r="M536" s="265">
        <f t="shared" ref="M536:N536" si="290">M537+M538+M539+M540+M541</f>
        <v>-109</v>
      </c>
      <c r="N536" s="265">
        <f t="shared" si="290"/>
        <v>957</v>
      </c>
    </row>
    <row r="537" spans="1:14" ht="13.5" customHeight="1" x14ac:dyDescent="0.2">
      <c r="A537" s="259" t="s">
        <v>95</v>
      </c>
      <c r="B537" s="252">
        <v>800</v>
      </c>
      <c r="C537" s="252" t="s">
        <v>190</v>
      </c>
      <c r="D537" s="252" t="s">
        <v>200</v>
      </c>
      <c r="E537" s="260" t="s">
        <v>866</v>
      </c>
      <c r="F537" s="252" t="s">
        <v>96</v>
      </c>
      <c r="G537" s="256"/>
      <c r="H537" s="257">
        <v>1033.3</v>
      </c>
      <c r="I537" s="257">
        <v>-240</v>
      </c>
      <c r="J537" s="257">
        <f>H537+I537</f>
        <v>793.3</v>
      </c>
      <c r="K537" s="257">
        <v>0</v>
      </c>
      <c r="L537" s="257">
        <v>770</v>
      </c>
      <c r="M537" s="257">
        <v>-35</v>
      </c>
      <c r="N537" s="257">
        <f>L537+M537</f>
        <v>735</v>
      </c>
    </row>
    <row r="538" spans="1:14" ht="31.5" customHeight="1" x14ac:dyDescent="0.2">
      <c r="A538" s="361" t="s">
        <v>898</v>
      </c>
      <c r="B538" s="252">
        <v>800</v>
      </c>
      <c r="C538" s="252" t="s">
        <v>190</v>
      </c>
      <c r="D538" s="252" t="s">
        <v>200</v>
      </c>
      <c r="E538" s="260" t="s">
        <v>866</v>
      </c>
      <c r="F538" s="252" t="s">
        <v>896</v>
      </c>
      <c r="G538" s="256"/>
      <c r="H538" s="257">
        <v>0</v>
      </c>
      <c r="I538" s="257">
        <v>240</v>
      </c>
      <c r="J538" s="257">
        <f>H538+I538</f>
        <v>240</v>
      </c>
      <c r="K538" s="257">
        <v>0</v>
      </c>
      <c r="L538" s="257">
        <v>233</v>
      </c>
      <c r="M538" s="257">
        <v>-11</v>
      </c>
      <c r="N538" s="257">
        <f t="shared" ref="N538:N541" si="291">L538+M538</f>
        <v>222</v>
      </c>
    </row>
    <row r="539" spans="1:14" ht="13.5" customHeight="1" x14ac:dyDescent="0.2">
      <c r="A539" s="259" t="s">
        <v>97</v>
      </c>
      <c r="B539" s="252">
        <v>800</v>
      </c>
      <c r="C539" s="252" t="s">
        <v>190</v>
      </c>
      <c r="D539" s="252" t="s">
        <v>200</v>
      </c>
      <c r="E539" s="260" t="s">
        <v>866</v>
      </c>
      <c r="F539" s="252" t="s">
        <v>98</v>
      </c>
      <c r="G539" s="256"/>
      <c r="H539" s="257">
        <v>20</v>
      </c>
      <c r="I539" s="257">
        <v>0</v>
      </c>
      <c r="J539" s="257">
        <f>H539+I539</f>
        <v>20</v>
      </c>
      <c r="K539" s="257">
        <v>0</v>
      </c>
      <c r="L539" s="257">
        <v>20</v>
      </c>
      <c r="M539" s="257">
        <v>-20</v>
      </c>
      <c r="N539" s="257">
        <f t="shared" si="291"/>
        <v>0</v>
      </c>
    </row>
    <row r="540" spans="1:14" ht="13.5" customHeight="1" x14ac:dyDescent="0.2">
      <c r="A540" s="259" t="s">
        <v>99</v>
      </c>
      <c r="B540" s="252">
        <v>800</v>
      </c>
      <c r="C540" s="252" t="s">
        <v>190</v>
      </c>
      <c r="D540" s="252" t="s">
        <v>200</v>
      </c>
      <c r="E540" s="260" t="s">
        <v>866</v>
      </c>
      <c r="F540" s="252" t="s">
        <v>100</v>
      </c>
      <c r="G540" s="256"/>
      <c r="H540" s="257"/>
      <c r="I540" s="257"/>
      <c r="J540" s="257"/>
      <c r="K540" s="257">
        <v>6.2</v>
      </c>
      <c r="L540" s="257">
        <v>13</v>
      </c>
      <c r="M540" s="257">
        <v>-13</v>
      </c>
      <c r="N540" s="257">
        <f t="shared" si="291"/>
        <v>0</v>
      </c>
    </row>
    <row r="541" spans="1:14" ht="21.75" customHeight="1" x14ac:dyDescent="0.2">
      <c r="A541" s="259" t="s">
        <v>93</v>
      </c>
      <c r="B541" s="252">
        <v>800</v>
      </c>
      <c r="C541" s="252" t="s">
        <v>190</v>
      </c>
      <c r="D541" s="252" t="s">
        <v>200</v>
      </c>
      <c r="E541" s="260" t="s">
        <v>866</v>
      </c>
      <c r="F541" s="252" t="s">
        <v>94</v>
      </c>
      <c r="G541" s="256"/>
      <c r="H541" s="257">
        <v>26.2</v>
      </c>
      <c r="I541" s="257">
        <v>0</v>
      </c>
      <c r="J541" s="257">
        <f>H541+I541</f>
        <v>26.2</v>
      </c>
      <c r="K541" s="257">
        <v>-6.2</v>
      </c>
      <c r="L541" s="257">
        <v>30</v>
      </c>
      <c r="M541" s="257">
        <v>-30</v>
      </c>
      <c r="N541" s="257">
        <f t="shared" si="291"/>
        <v>0</v>
      </c>
    </row>
    <row r="542" spans="1:14" s="17" customFormat="1" ht="15.75" x14ac:dyDescent="0.2">
      <c r="A542" s="523" t="s">
        <v>311</v>
      </c>
      <c r="B542" s="524"/>
      <c r="C542" s="524"/>
      <c r="D542" s="524"/>
      <c r="E542" s="524"/>
      <c r="F542" s="524"/>
      <c r="G542" s="245" t="e">
        <f>G543+G767+G816+G850+G944+G948+G975+G942</f>
        <v>#REF!</v>
      </c>
      <c r="H542" s="245" t="e">
        <f>H543+H767+H816+H850+H944+H948+H975+H939</f>
        <v>#REF!</v>
      </c>
      <c r="I542" s="245" t="e">
        <f>I543+I767+I816+I850+I944+I948+I975+I939</f>
        <v>#REF!</v>
      </c>
      <c r="J542" s="245" t="e">
        <f>J543+J767+J816+J850+J944+J948+J975+J939</f>
        <v>#REF!</v>
      </c>
      <c r="K542" s="245" t="e">
        <f>K543+K767+K816+K850+K944+K948+K975+K939</f>
        <v>#REF!</v>
      </c>
      <c r="L542" s="245">
        <f>L543+L767+L816+L850+L939+L944+L948+L975</f>
        <v>60197.549999999996</v>
      </c>
      <c r="M542" s="245">
        <f>M543+M767+M816+M850+M939+M944+M948+M975</f>
        <v>-6854.35</v>
      </c>
      <c r="N542" s="245">
        <f>N543+N767+N816+N850+N939+N944+N948+N975</f>
        <v>53343.199999999997</v>
      </c>
    </row>
    <row r="543" spans="1:14" s="19" customFormat="1" ht="14.25" x14ac:dyDescent="0.2">
      <c r="A543" s="398" t="s">
        <v>72</v>
      </c>
      <c r="B543" s="249">
        <v>801</v>
      </c>
      <c r="C543" s="249" t="s">
        <v>312</v>
      </c>
      <c r="D543" s="249"/>
      <c r="E543" s="249"/>
      <c r="F543" s="249"/>
      <c r="G543" s="261" t="e">
        <f>G544+G555+G613+G616+G619+G631</f>
        <v>#REF!</v>
      </c>
      <c r="H543" s="261">
        <f>H544+H555+H613+H616+H619+H631</f>
        <v>32015.550000000003</v>
      </c>
      <c r="I543" s="261">
        <f>I544+I555+I613+I616+I619+I631</f>
        <v>264.52999999999929</v>
      </c>
      <c r="J543" s="261">
        <f>J544+J555+J613+J616+J619+J631</f>
        <v>32280.085000000003</v>
      </c>
      <c r="K543" s="261">
        <f>K544+K555+K613+K616+K619+K631</f>
        <v>-413.86</v>
      </c>
      <c r="L543" s="261">
        <f>L544+L555+L619+L631+L613+L616</f>
        <v>31297.100000000002</v>
      </c>
      <c r="M543" s="261">
        <f t="shared" ref="M543:N543" si="292">M544+M555+M619+M631+M613+M616</f>
        <v>-2181.3000000000002</v>
      </c>
      <c r="N543" s="261">
        <f t="shared" si="292"/>
        <v>29115.8</v>
      </c>
    </row>
    <row r="544" spans="1:14" ht="30" customHeight="1" x14ac:dyDescent="0.2">
      <c r="A544" s="398" t="s">
        <v>191</v>
      </c>
      <c r="B544" s="249">
        <v>801</v>
      </c>
      <c r="C544" s="249" t="s">
        <v>312</v>
      </c>
      <c r="D544" s="250" t="s">
        <v>192</v>
      </c>
      <c r="E544" s="249"/>
      <c r="F544" s="249"/>
      <c r="G544" s="257">
        <f>G548+G550</f>
        <v>0</v>
      </c>
      <c r="H544" s="275">
        <f t="shared" ref="H544:L544" si="293">H550</f>
        <v>2007</v>
      </c>
      <c r="I544" s="275">
        <f t="shared" si="293"/>
        <v>0</v>
      </c>
      <c r="J544" s="275">
        <f t="shared" si="293"/>
        <v>2007</v>
      </c>
      <c r="K544" s="275">
        <f t="shared" si="293"/>
        <v>0</v>
      </c>
      <c r="L544" s="275">
        <f t="shared" si="293"/>
        <v>2008</v>
      </c>
      <c r="M544" s="275">
        <f t="shared" ref="M544:N544" si="294">M550</f>
        <v>0</v>
      </c>
      <c r="N544" s="275">
        <f t="shared" si="294"/>
        <v>2008</v>
      </c>
    </row>
    <row r="545" spans="1:14" ht="27" hidden="1" customHeight="1" x14ac:dyDescent="0.2">
      <c r="A545" s="259" t="s">
        <v>123</v>
      </c>
      <c r="B545" s="271">
        <v>801</v>
      </c>
      <c r="C545" s="271" t="s">
        <v>312</v>
      </c>
      <c r="D545" s="252" t="s">
        <v>192</v>
      </c>
      <c r="E545" s="260" t="s">
        <v>332</v>
      </c>
      <c r="F545" s="271"/>
      <c r="G545" s="256"/>
      <c r="H545" s="256"/>
      <c r="I545" s="257">
        <f t="shared" ref="I545:N546" si="295">I546</f>
        <v>-2032.4</v>
      </c>
      <c r="J545" s="257">
        <f t="shared" si="295"/>
        <v>-2032.4</v>
      </c>
      <c r="K545" s="257">
        <f t="shared" si="295"/>
        <v>-2032.4</v>
      </c>
      <c r="L545" s="257">
        <f t="shared" si="295"/>
        <v>-2032.4</v>
      </c>
      <c r="M545" s="257">
        <f t="shared" si="295"/>
        <v>-4064.8</v>
      </c>
      <c r="N545" s="257">
        <f t="shared" si="295"/>
        <v>-4064.8</v>
      </c>
    </row>
    <row r="546" spans="1:14" ht="15" hidden="1" x14ac:dyDescent="0.2">
      <c r="A546" s="259" t="s">
        <v>313</v>
      </c>
      <c r="B546" s="271">
        <v>801</v>
      </c>
      <c r="C546" s="271" t="s">
        <v>312</v>
      </c>
      <c r="D546" s="252" t="s">
        <v>192</v>
      </c>
      <c r="E546" s="260" t="s">
        <v>314</v>
      </c>
      <c r="F546" s="271"/>
      <c r="G546" s="256"/>
      <c r="H546" s="256"/>
      <c r="I546" s="257">
        <f t="shared" si="295"/>
        <v>-2032.4</v>
      </c>
      <c r="J546" s="257">
        <f t="shared" si="295"/>
        <v>-2032.4</v>
      </c>
      <c r="K546" s="257">
        <f t="shared" si="295"/>
        <v>-2032.4</v>
      </c>
      <c r="L546" s="257">
        <f t="shared" si="295"/>
        <v>-2032.4</v>
      </c>
      <c r="M546" s="257">
        <f t="shared" si="295"/>
        <v>-4064.8</v>
      </c>
      <c r="N546" s="257">
        <f t="shared" si="295"/>
        <v>-4064.8</v>
      </c>
    </row>
    <row r="547" spans="1:14" ht="15" hidden="1" x14ac:dyDescent="0.2">
      <c r="A547" s="259" t="s">
        <v>95</v>
      </c>
      <c r="B547" s="271">
        <v>801</v>
      </c>
      <c r="C547" s="271" t="s">
        <v>312</v>
      </c>
      <c r="D547" s="252" t="s">
        <v>192</v>
      </c>
      <c r="E547" s="260" t="s">
        <v>314</v>
      </c>
      <c r="F547" s="252" t="s">
        <v>96</v>
      </c>
      <c r="G547" s="256"/>
      <c r="H547" s="256"/>
      <c r="I547" s="257">
        <v>-2032.4</v>
      </c>
      <c r="J547" s="257">
        <f>G547+I547</f>
        <v>-2032.4</v>
      </c>
      <c r="K547" s="257">
        <v>-2032.4</v>
      </c>
      <c r="L547" s="257">
        <f>H547+J547</f>
        <v>-2032.4</v>
      </c>
      <c r="M547" s="257">
        <f t="shared" ref="M547:N547" si="296">I547+K547</f>
        <v>-4064.8</v>
      </c>
      <c r="N547" s="257">
        <f t="shared" si="296"/>
        <v>-4064.8</v>
      </c>
    </row>
    <row r="548" spans="1:14" ht="18" hidden="1" customHeight="1" x14ac:dyDescent="0.2">
      <c r="A548" s="259" t="s">
        <v>504</v>
      </c>
      <c r="B548" s="271">
        <v>801</v>
      </c>
      <c r="C548" s="271" t="s">
        <v>312</v>
      </c>
      <c r="D548" s="252" t="s">
        <v>192</v>
      </c>
      <c r="E548" s="260" t="s">
        <v>465</v>
      </c>
      <c r="F548" s="252"/>
      <c r="G548" s="256"/>
      <c r="H548" s="256"/>
      <c r="I548" s="257">
        <f>I549</f>
        <v>-2109.1999999999998</v>
      </c>
      <c r="J548" s="257" t="e">
        <f>J549</f>
        <v>#REF!</v>
      </c>
      <c r="K548" s="257">
        <f>K549</f>
        <v>-2109.1999999999998</v>
      </c>
      <c r="L548" s="257" t="e">
        <f>L549</f>
        <v>#REF!</v>
      </c>
      <c r="M548" s="257" t="e">
        <f t="shared" ref="M548:N548" si="297">M549</f>
        <v>#REF!</v>
      </c>
      <c r="N548" s="257" t="e">
        <f t="shared" si="297"/>
        <v>#REF!</v>
      </c>
    </row>
    <row r="549" spans="1:14" ht="12.75" hidden="1" customHeight="1" x14ac:dyDescent="0.2">
      <c r="A549" s="259" t="s">
        <v>95</v>
      </c>
      <c r="B549" s="271">
        <v>801</v>
      </c>
      <c r="C549" s="271" t="s">
        <v>312</v>
      </c>
      <c r="D549" s="252" t="s">
        <v>192</v>
      </c>
      <c r="E549" s="260" t="s">
        <v>465</v>
      </c>
      <c r="F549" s="252" t="s">
        <v>96</v>
      </c>
      <c r="G549" s="256"/>
      <c r="H549" s="256"/>
      <c r="I549" s="257">
        <v>-2109.1999999999998</v>
      </c>
      <c r="J549" s="257" t="e">
        <f>#REF!+I549</f>
        <v>#REF!</v>
      </c>
      <c r="K549" s="257">
        <v>-2109.1999999999998</v>
      </c>
      <c r="L549" s="257" t="e">
        <f>#REF!+J549</f>
        <v>#REF!</v>
      </c>
      <c r="M549" s="257" t="e">
        <f>#REF!+K549</f>
        <v>#REF!</v>
      </c>
      <c r="N549" s="257" t="e">
        <f>#REF!+L549</f>
        <v>#REF!</v>
      </c>
    </row>
    <row r="550" spans="1:14" ht="12.75" customHeight="1" x14ac:dyDescent="0.2">
      <c r="A550" s="259" t="s">
        <v>504</v>
      </c>
      <c r="B550" s="271">
        <v>801</v>
      </c>
      <c r="C550" s="271" t="s">
        <v>312</v>
      </c>
      <c r="D550" s="252" t="s">
        <v>192</v>
      </c>
      <c r="E550" s="260" t="s">
        <v>867</v>
      </c>
      <c r="F550" s="252"/>
      <c r="G550" s="256"/>
      <c r="H550" s="257">
        <f t="shared" ref="H550:K550" si="298">H551+H552</f>
        <v>2007</v>
      </c>
      <c r="I550" s="257">
        <f t="shared" si="298"/>
        <v>0</v>
      </c>
      <c r="J550" s="257">
        <f t="shared" si="298"/>
        <v>2007</v>
      </c>
      <c r="K550" s="257">
        <f t="shared" si="298"/>
        <v>0</v>
      </c>
      <c r="L550" s="257">
        <f>L551+L552+L553+L554</f>
        <v>2008</v>
      </c>
      <c r="M550" s="257">
        <f t="shared" ref="M550:N550" si="299">M551+M552+M553+M554</f>
        <v>0</v>
      </c>
      <c r="N550" s="257">
        <f t="shared" si="299"/>
        <v>2008</v>
      </c>
    </row>
    <row r="551" spans="1:14" ht="12.75" customHeight="1" x14ac:dyDescent="0.2">
      <c r="A551" s="259" t="s">
        <v>95</v>
      </c>
      <c r="B551" s="271">
        <v>801</v>
      </c>
      <c r="C551" s="271" t="s">
        <v>312</v>
      </c>
      <c r="D551" s="252" t="s">
        <v>192</v>
      </c>
      <c r="E551" s="260" t="s">
        <v>867</v>
      </c>
      <c r="F551" s="252" t="s">
        <v>96</v>
      </c>
      <c r="G551" s="256"/>
      <c r="H551" s="257">
        <v>2007</v>
      </c>
      <c r="I551" s="257">
        <v>-465.29</v>
      </c>
      <c r="J551" s="257">
        <f>H551+I551</f>
        <v>1541.71</v>
      </c>
      <c r="K551" s="257">
        <v>0</v>
      </c>
      <c r="L551" s="257">
        <v>1542</v>
      </c>
      <c r="M551" s="257">
        <v>0</v>
      </c>
      <c r="N551" s="257">
        <f>L551+M551</f>
        <v>1542</v>
      </c>
    </row>
    <row r="552" spans="1:14" ht="33" customHeight="1" x14ac:dyDescent="0.2">
      <c r="A552" s="361" t="s">
        <v>898</v>
      </c>
      <c r="B552" s="271">
        <v>801</v>
      </c>
      <c r="C552" s="271" t="s">
        <v>312</v>
      </c>
      <c r="D552" s="252" t="s">
        <v>192</v>
      </c>
      <c r="E552" s="260" t="s">
        <v>867</v>
      </c>
      <c r="F552" s="252" t="s">
        <v>896</v>
      </c>
      <c r="G552" s="256"/>
      <c r="H552" s="257">
        <v>0</v>
      </c>
      <c r="I552" s="257">
        <v>465.29</v>
      </c>
      <c r="J552" s="257">
        <f>H552+I552</f>
        <v>465.29</v>
      </c>
      <c r="K552" s="257">
        <v>0</v>
      </c>
      <c r="L552" s="257">
        <v>466</v>
      </c>
      <c r="M552" s="257">
        <v>0</v>
      </c>
      <c r="N552" s="257">
        <f>L552+M552</f>
        <v>466</v>
      </c>
    </row>
    <row r="553" spans="1:14" ht="19.5" hidden="1" customHeight="1" x14ac:dyDescent="0.2">
      <c r="A553" s="391" t="s">
        <v>95</v>
      </c>
      <c r="B553" s="271">
        <v>801</v>
      </c>
      <c r="C553" s="271" t="s">
        <v>312</v>
      </c>
      <c r="D553" s="252" t="s">
        <v>192</v>
      </c>
      <c r="E553" s="260" t="s">
        <v>1016</v>
      </c>
      <c r="F553" s="252" t="s">
        <v>96</v>
      </c>
      <c r="G553" s="385"/>
      <c r="H553" s="392"/>
      <c r="I553" s="392"/>
      <c r="J553" s="392"/>
      <c r="K553" s="392"/>
      <c r="L553" s="257">
        <v>0</v>
      </c>
      <c r="M553" s="257">
        <v>0</v>
      </c>
      <c r="N553" s="257">
        <f t="shared" ref="N553:N554" si="300">L553+M553</f>
        <v>0</v>
      </c>
    </row>
    <row r="554" spans="1:14" ht="33" hidden="1" customHeight="1" x14ac:dyDescent="0.2">
      <c r="A554" s="361" t="s">
        <v>898</v>
      </c>
      <c r="B554" s="271">
        <v>801</v>
      </c>
      <c r="C554" s="271" t="s">
        <v>312</v>
      </c>
      <c r="D554" s="252" t="s">
        <v>192</v>
      </c>
      <c r="E554" s="260" t="s">
        <v>1016</v>
      </c>
      <c r="F554" s="252" t="s">
        <v>896</v>
      </c>
      <c r="G554" s="256">
        <v>129</v>
      </c>
      <c r="H554" s="257"/>
      <c r="I554" s="257"/>
      <c r="J554" s="257"/>
      <c r="K554" s="257"/>
      <c r="L554" s="257">
        <v>0</v>
      </c>
      <c r="M554" s="257">
        <v>0</v>
      </c>
      <c r="N554" s="257">
        <f t="shared" si="300"/>
        <v>0</v>
      </c>
    </row>
    <row r="555" spans="1:14" s="19" customFormat="1" ht="41.25" customHeight="1" x14ac:dyDescent="0.2">
      <c r="A555" s="398" t="s">
        <v>195</v>
      </c>
      <c r="B555" s="249">
        <v>801</v>
      </c>
      <c r="C555" s="249" t="s">
        <v>312</v>
      </c>
      <c r="D555" s="250" t="s">
        <v>196</v>
      </c>
      <c r="E555" s="249"/>
      <c r="F555" s="249"/>
      <c r="G555" s="275" t="e">
        <f>G567+G573+G582+G590+G602+G607</f>
        <v>#REF!</v>
      </c>
      <c r="H555" s="275">
        <f t="shared" ref="H555:L555" si="301">H590+H599+H602+H604+H607</f>
        <v>15745</v>
      </c>
      <c r="I555" s="275">
        <f t="shared" si="301"/>
        <v>-1136.5000000000002</v>
      </c>
      <c r="J555" s="275">
        <f t="shared" si="301"/>
        <v>14608.5</v>
      </c>
      <c r="K555" s="275">
        <f t="shared" si="301"/>
        <v>4.0000000000000036E-2</v>
      </c>
      <c r="L555" s="275">
        <f t="shared" si="301"/>
        <v>15076.9</v>
      </c>
      <c r="M555" s="275">
        <f t="shared" ref="M555:N555" si="302">M590+M599+M602+M604+M607</f>
        <v>-3692.4</v>
      </c>
      <c r="N555" s="275">
        <f t="shared" si="302"/>
        <v>11384.5</v>
      </c>
    </row>
    <row r="556" spans="1:14" ht="24.75" hidden="1" customHeight="1" x14ac:dyDescent="0.2">
      <c r="A556" s="259" t="s">
        <v>123</v>
      </c>
      <c r="B556" s="271">
        <v>801</v>
      </c>
      <c r="C556" s="271" t="s">
        <v>312</v>
      </c>
      <c r="D556" s="252" t="s">
        <v>196</v>
      </c>
      <c r="E556" s="260" t="s">
        <v>332</v>
      </c>
      <c r="F556" s="271"/>
      <c r="G556" s="256"/>
      <c r="H556" s="256"/>
      <c r="I556" s="257">
        <f>I557</f>
        <v>-15113.39</v>
      </c>
      <c r="J556" s="257">
        <f>J557</f>
        <v>-15113.39</v>
      </c>
      <c r="K556" s="257">
        <f>K557</f>
        <v>-15113.39</v>
      </c>
      <c r="L556" s="257">
        <f>L557</f>
        <v>-15113.39</v>
      </c>
      <c r="M556" s="257">
        <f t="shared" ref="M556:N556" si="303">M557</f>
        <v>-30226.78</v>
      </c>
      <c r="N556" s="257">
        <f t="shared" si="303"/>
        <v>-30226.78</v>
      </c>
    </row>
    <row r="557" spans="1:14" ht="16.5" hidden="1" customHeight="1" x14ac:dyDescent="0.2">
      <c r="A557" s="259" t="s">
        <v>315</v>
      </c>
      <c r="B557" s="271">
        <v>801</v>
      </c>
      <c r="C557" s="271" t="s">
        <v>312</v>
      </c>
      <c r="D557" s="252" t="s">
        <v>196</v>
      </c>
      <c r="E557" s="260" t="s">
        <v>334</v>
      </c>
      <c r="F557" s="252"/>
      <c r="G557" s="256"/>
      <c r="H557" s="256"/>
      <c r="I557" s="257">
        <f>I564+I558+I559+I560+I561+I563+I565+I566+I562</f>
        <v>-15113.39</v>
      </c>
      <c r="J557" s="257">
        <f>J564+J558+J559+J560+J561+J563+J565+J566+J562</f>
        <v>-15113.39</v>
      </c>
      <c r="K557" s="257">
        <f>K564+K558+K559+K560+K561+K563+K565+K566+K562</f>
        <v>-15113.39</v>
      </c>
      <c r="L557" s="257">
        <f>L564+L558+L559+L560+L561+L563+L565+L566+L562</f>
        <v>-15113.39</v>
      </c>
      <c r="M557" s="257">
        <f t="shared" ref="M557:N557" si="304">M564+M558+M559+M560+M561+M563+M565+M566+M562</f>
        <v>-30226.78</v>
      </c>
      <c r="N557" s="257">
        <f t="shared" si="304"/>
        <v>-30226.78</v>
      </c>
    </row>
    <row r="558" spans="1:14" ht="18.75" hidden="1" customHeight="1" x14ac:dyDescent="0.2">
      <c r="A558" s="259" t="s">
        <v>95</v>
      </c>
      <c r="B558" s="271">
        <v>801</v>
      </c>
      <c r="C558" s="271" t="s">
        <v>312</v>
      </c>
      <c r="D558" s="252" t="s">
        <v>196</v>
      </c>
      <c r="E558" s="260" t="s">
        <v>334</v>
      </c>
      <c r="F558" s="252" t="s">
        <v>96</v>
      </c>
      <c r="G558" s="256"/>
      <c r="H558" s="256"/>
      <c r="I558" s="257">
        <v>-9856.1</v>
      </c>
      <c r="J558" s="257">
        <f t="shared" ref="J558:J566" si="305">G558+I558</f>
        <v>-9856.1</v>
      </c>
      <c r="K558" s="257">
        <v>-9856.1</v>
      </c>
      <c r="L558" s="257">
        <f t="shared" ref="L558:L566" si="306">H558+J558</f>
        <v>-9856.1</v>
      </c>
      <c r="M558" s="257">
        <f t="shared" ref="M558:M566" si="307">I558+K558</f>
        <v>-19712.2</v>
      </c>
      <c r="N558" s="257">
        <f t="shared" ref="N558:N566" si="308">J558+L558</f>
        <v>-19712.2</v>
      </c>
    </row>
    <row r="559" spans="1:14" ht="12" hidden="1" customHeight="1" x14ac:dyDescent="0.2">
      <c r="A559" s="259" t="s">
        <v>97</v>
      </c>
      <c r="B559" s="271">
        <v>801</v>
      </c>
      <c r="C559" s="271" t="s">
        <v>312</v>
      </c>
      <c r="D559" s="252" t="s">
        <v>196</v>
      </c>
      <c r="E559" s="260" t="s">
        <v>334</v>
      </c>
      <c r="F559" s="252" t="s">
        <v>98</v>
      </c>
      <c r="G559" s="256"/>
      <c r="H559" s="256"/>
      <c r="I559" s="257">
        <v>-480</v>
      </c>
      <c r="J559" s="257">
        <f t="shared" si="305"/>
        <v>-480</v>
      </c>
      <c r="K559" s="257">
        <v>-480</v>
      </c>
      <c r="L559" s="257">
        <f t="shared" si="306"/>
        <v>-480</v>
      </c>
      <c r="M559" s="257">
        <f t="shared" si="307"/>
        <v>-960</v>
      </c>
      <c r="N559" s="257">
        <f t="shared" si="308"/>
        <v>-960</v>
      </c>
    </row>
    <row r="560" spans="1:14" ht="25.5" hidden="1" customHeight="1" x14ac:dyDescent="0.2">
      <c r="A560" s="259" t="s">
        <v>99</v>
      </c>
      <c r="B560" s="271">
        <v>801</v>
      </c>
      <c r="C560" s="271" t="s">
        <v>312</v>
      </c>
      <c r="D560" s="252" t="s">
        <v>196</v>
      </c>
      <c r="E560" s="260" t="s">
        <v>401</v>
      </c>
      <c r="F560" s="252" t="s">
        <v>100</v>
      </c>
      <c r="G560" s="256"/>
      <c r="H560" s="256"/>
      <c r="I560" s="257"/>
      <c r="J560" s="257">
        <f t="shared" si="305"/>
        <v>0</v>
      </c>
      <c r="K560" s="257"/>
      <c r="L560" s="257">
        <f t="shared" si="306"/>
        <v>0</v>
      </c>
      <c r="M560" s="257">
        <f t="shared" si="307"/>
        <v>0</v>
      </c>
      <c r="N560" s="257">
        <f t="shared" si="308"/>
        <v>0</v>
      </c>
    </row>
    <row r="561" spans="1:14" ht="25.5" hidden="1" customHeight="1" x14ac:dyDescent="0.2">
      <c r="A561" s="259" t="s">
        <v>101</v>
      </c>
      <c r="B561" s="271">
        <v>801</v>
      </c>
      <c r="C561" s="271" t="s">
        <v>312</v>
      </c>
      <c r="D561" s="252" t="s">
        <v>196</v>
      </c>
      <c r="E561" s="260" t="s">
        <v>401</v>
      </c>
      <c r="F561" s="252" t="s">
        <v>102</v>
      </c>
      <c r="G561" s="256"/>
      <c r="H561" s="256"/>
      <c r="I561" s="257"/>
      <c r="J561" s="257">
        <f t="shared" si="305"/>
        <v>0</v>
      </c>
      <c r="K561" s="257"/>
      <c r="L561" s="257">
        <f t="shared" si="306"/>
        <v>0</v>
      </c>
      <c r="M561" s="257">
        <f t="shared" si="307"/>
        <v>0</v>
      </c>
      <c r="N561" s="257">
        <f t="shared" si="308"/>
        <v>0</v>
      </c>
    </row>
    <row r="562" spans="1:14" ht="18" hidden="1" customHeight="1" x14ac:dyDescent="0.25">
      <c r="A562" s="357" t="s">
        <v>99</v>
      </c>
      <c r="B562" s="271">
        <v>801</v>
      </c>
      <c r="C562" s="271" t="s">
        <v>312</v>
      </c>
      <c r="D562" s="252" t="s">
        <v>196</v>
      </c>
      <c r="E562" s="260" t="s">
        <v>334</v>
      </c>
      <c r="F562" s="252" t="s">
        <v>100</v>
      </c>
      <c r="G562" s="256"/>
      <c r="H562" s="256"/>
      <c r="I562" s="257">
        <v>-500</v>
      </c>
      <c r="J562" s="257">
        <f t="shared" si="305"/>
        <v>-500</v>
      </c>
      <c r="K562" s="257">
        <v>-500</v>
      </c>
      <c r="L562" s="257">
        <f t="shared" si="306"/>
        <v>-500</v>
      </c>
      <c r="M562" s="257">
        <f t="shared" si="307"/>
        <v>-1000</v>
      </c>
      <c r="N562" s="257">
        <f t="shared" si="308"/>
        <v>-1000</v>
      </c>
    </row>
    <row r="563" spans="1:14" ht="17.25" hidden="1" customHeight="1" x14ac:dyDescent="0.2">
      <c r="A563" s="259" t="s">
        <v>93</v>
      </c>
      <c r="B563" s="271">
        <v>801</v>
      </c>
      <c r="C563" s="271" t="s">
        <v>312</v>
      </c>
      <c r="D563" s="252" t="s">
        <v>196</v>
      </c>
      <c r="E563" s="260" t="s">
        <v>334</v>
      </c>
      <c r="F563" s="252" t="s">
        <v>94</v>
      </c>
      <c r="G563" s="256"/>
      <c r="H563" s="256"/>
      <c r="I563" s="257">
        <v>-4027.29</v>
      </c>
      <c r="J563" s="257">
        <f t="shared" si="305"/>
        <v>-4027.29</v>
      </c>
      <c r="K563" s="257">
        <v>-4027.29</v>
      </c>
      <c r="L563" s="257">
        <f t="shared" si="306"/>
        <v>-4027.29</v>
      </c>
      <c r="M563" s="257">
        <f t="shared" si="307"/>
        <v>-8054.58</v>
      </c>
      <c r="N563" s="257">
        <f t="shared" si="308"/>
        <v>-8054.58</v>
      </c>
    </row>
    <row r="564" spans="1:14" ht="12.75" hidden="1" customHeight="1" x14ac:dyDescent="0.2">
      <c r="A564" s="259" t="s">
        <v>320</v>
      </c>
      <c r="B564" s="271">
        <v>801</v>
      </c>
      <c r="C564" s="271" t="s">
        <v>312</v>
      </c>
      <c r="D564" s="252" t="s">
        <v>196</v>
      </c>
      <c r="E564" s="260" t="s">
        <v>334</v>
      </c>
      <c r="F564" s="252" t="s">
        <v>64</v>
      </c>
      <c r="G564" s="256"/>
      <c r="H564" s="256"/>
      <c r="I564" s="257"/>
      <c r="J564" s="257">
        <f t="shared" si="305"/>
        <v>0</v>
      </c>
      <c r="K564" s="257"/>
      <c r="L564" s="257">
        <f t="shared" si="306"/>
        <v>0</v>
      </c>
      <c r="M564" s="257">
        <f t="shared" si="307"/>
        <v>0</v>
      </c>
      <c r="N564" s="257">
        <f t="shared" si="308"/>
        <v>0</v>
      </c>
    </row>
    <row r="565" spans="1:14" ht="15" hidden="1" x14ac:dyDescent="0.2">
      <c r="A565" s="259" t="s">
        <v>103</v>
      </c>
      <c r="B565" s="271">
        <v>801</v>
      </c>
      <c r="C565" s="271" t="s">
        <v>312</v>
      </c>
      <c r="D565" s="252" t="s">
        <v>196</v>
      </c>
      <c r="E565" s="260" t="s">
        <v>334</v>
      </c>
      <c r="F565" s="252" t="s">
        <v>104</v>
      </c>
      <c r="G565" s="256"/>
      <c r="H565" s="256"/>
      <c r="I565" s="257">
        <v>-210</v>
      </c>
      <c r="J565" s="257">
        <f t="shared" si="305"/>
        <v>-210</v>
      </c>
      <c r="K565" s="257">
        <v>-210</v>
      </c>
      <c r="L565" s="257">
        <f t="shared" si="306"/>
        <v>-210</v>
      </c>
      <c r="M565" s="257">
        <f t="shared" si="307"/>
        <v>-420</v>
      </c>
      <c r="N565" s="257">
        <f t="shared" si="308"/>
        <v>-420</v>
      </c>
    </row>
    <row r="566" spans="1:14" ht="15" hidden="1" x14ac:dyDescent="0.2">
      <c r="A566" s="259" t="s">
        <v>105</v>
      </c>
      <c r="B566" s="271">
        <v>801</v>
      </c>
      <c r="C566" s="271" t="s">
        <v>312</v>
      </c>
      <c r="D566" s="252" t="s">
        <v>196</v>
      </c>
      <c r="E566" s="260" t="s">
        <v>334</v>
      </c>
      <c r="F566" s="252" t="s">
        <v>106</v>
      </c>
      <c r="G566" s="256"/>
      <c r="H566" s="256"/>
      <c r="I566" s="257">
        <v>-40</v>
      </c>
      <c r="J566" s="257">
        <f t="shared" si="305"/>
        <v>-40</v>
      </c>
      <c r="K566" s="257">
        <v>-40</v>
      </c>
      <c r="L566" s="257">
        <f t="shared" si="306"/>
        <v>-40</v>
      </c>
      <c r="M566" s="257">
        <f t="shared" si="307"/>
        <v>-80</v>
      </c>
      <c r="N566" s="257">
        <f t="shared" si="308"/>
        <v>-80</v>
      </c>
    </row>
    <row r="567" spans="1:14" ht="60.75" hidden="1" customHeight="1" x14ac:dyDescent="0.2">
      <c r="A567" s="270" t="s">
        <v>733</v>
      </c>
      <c r="B567" s="271">
        <v>801</v>
      </c>
      <c r="C567" s="272" t="s">
        <v>190</v>
      </c>
      <c r="D567" s="272" t="s">
        <v>196</v>
      </c>
      <c r="E567" s="272" t="s">
        <v>442</v>
      </c>
      <c r="F567" s="249"/>
      <c r="G567" s="256"/>
      <c r="H567" s="256"/>
      <c r="I567" s="257">
        <f>I568</f>
        <v>-31.5</v>
      </c>
      <c r="J567" s="257" t="e">
        <f>J568</f>
        <v>#REF!</v>
      </c>
      <c r="K567" s="257">
        <f>K568</f>
        <v>-31.5</v>
      </c>
      <c r="L567" s="257" t="e">
        <f>L568</f>
        <v>#REF!</v>
      </c>
      <c r="M567" s="257" t="e">
        <f t="shared" ref="M567:N567" si="309">M568</f>
        <v>#REF!</v>
      </c>
      <c r="N567" s="257" t="e">
        <f t="shared" si="309"/>
        <v>#REF!</v>
      </c>
    </row>
    <row r="568" spans="1:14" ht="19.5" hidden="1" customHeight="1" x14ac:dyDescent="0.2">
      <c r="A568" s="259" t="s">
        <v>93</v>
      </c>
      <c r="B568" s="271">
        <v>801</v>
      </c>
      <c r="C568" s="271" t="s">
        <v>312</v>
      </c>
      <c r="D568" s="252" t="s">
        <v>196</v>
      </c>
      <c r="E568" s="252" t="s">
        <v>442</v>
      </c>
      <c r="F568" s="252" t="s">
        <v>94</v>
      </c>
      <c r="G568" s="256"/>
      <c r="H568" s="256"/>
      <c r="I568" s="257">
        <v>-31.5</v>
      </c>
      <c r="J568" s="257" t="e">
        <f>#REF!+I568</f>
        <v>#REF!</v>
      </c>
      <c r="K568" s="257">
        <v>-31.5</v>
      </c>
      <c r="L568" s="257" t="e">
        <f>#REF!+J568</f>
        <v>#REF!</v>
      </c>
      <c r="M568" s="257" t="e">
        <f>#REF!+K568</f>
        <v>#REF!</v>
      </c>
      <c r="N568" s="257" t="e">
        <f>#REF!+L568</f>
        <v>#REF!</v>
      </c>
    </row>
    <row r="569" spans="1:14" ht="12.75" hidden="1" customHeight="1" x14ac:dyDescent="0.2">
      <c r="A569" s="259" t="s">
        <v>97</v>
      </c>
      <c r="B569" s="271">
        <v>801</v>
      </c>
      <c r="C569" s="271" t="s">
        <v>312</v>
      </c>
      <c r="D569" s="252" t="s">
        <v>198</v>
      </c>
      <c r="E569" s="252" t="s">
        <v>363</v>
      </c>
      <c r="F569" s="252" t="s">
        <v>98</v>
      </c>
      <c r="G569" s="256"/>
      <c r="H569" s="256"/>
      <c r="I569" s="257"/>
      <c r="J569" s="257" t="e">
        <f>#REF!+I569</f>
        <v>#REF!</v>
      </c>
      <c r="K569" s="257"/>
      <c r="L569" s="257" t="e">
        <f t="shared" ref="L569:L572" si="310">F569+J569</f>
        <v>#REF!</v>
      </c>
      <c r="M569" s="257">
        <f t="shared" ref="M569:M572" si="311">G569+K569</f>
        <v>0</v>
      </c>
      <c r="N569" s="257" t="e">
        <f t="shared" ref="N569:N572" si="312">H569+L569</f>
        <v>#REF!</v>
      </c>
    </row>
    <row r="570" spans="1:14" ht="12.75" hidden="1" customHeight="1" x14ac:dyDescent="0.2">
      <c r="A570" s="259" t="s">
        <v>121</v>
      </c>
      <c r="B570" s="271">
        <v>801</v>
      </c>
      <c r="C570" s="271" t="s">
        <v>312</v>
      </c>
      <c r="D570" s="252" t="s">
        <v>198</v>
      </c>
      <c r="E570" s="252" t="s">
        <v>363</v>
      </c>
      <c r="F570" s="252" t="s">
        <v>94</v>
      </c>
      <c r="G570" s="256"/>
      <c r="H570" s="256"/>
      <c r="I570" s="257"/>
      <c r="J570" s="257" t="e">
        <f>#REF!+I570</f>
        <v>#REF!</v>
      </c>
      <c r="K570" s="257"/>
      <c r="L570" s="257" t="e">
        <f t="shared" si="310"/>
        <v>#REF!</v>
      </c>
      <c r="M570" s="257">
        <f t="shared" si="311"/>
        <v>0</v>
      </c>
      <c r="N570" s="257" t="e">
        <f t="shared" si="312"/>
        <v>#REF!</v>
      </c>
    </row>
    <row r="571" spans="1:14" ht="12.75" hidden="1" customHeight="1" x14ac:dyDescent="0.2">
      <c r="A571" s="259" t="s">
        <v>63</v>
      </c>
      <c r="B571" s="271">
        <v>801</v>
      </c>
      <c r="C571" s="271" t="s">
        <v>312</v>
      </c>
      <c r="D571" s="252" t="s">
        <v>198</v>
      </c>
      <c r="E571" s="252" t="s">
        <v>363</v>
      </c>
      <c r="F571" s="252" t="s">
        <v>64</v>
      </c>
      <c r="G571" s="256"/>
      <c r="H571" s="256"/>
      <c r="I571" s="257"/>
      <c r="J571" s="257" t="e">
        <f>#REF!+I571</f>
        <v>#REF!</v>
      </c>
      <c r="K571" s="257"/>
      <c r="L571" s="257" t="e">
        <f t="shared" si="310"/>
        <v>#REF!</v>
      </c>
      <c r="M571" s="257">
        <f t="shared" si="311"/>
        <v>0</v>
      </c>
      <c r="N571" s="257" t="e">
        <f t="shared" si="312"/>
        <v>#REF!</v>
      </c>
    </row>
    <row r="572" spans="1:14" ht="12.75" hidden="1" customHeight="1" x14ac:dyDescent="0.2">
      <c r="A572" s="259" t="s">
        <v>302</v>
      </c>
      <c r="B572" s="271">
        <v>801</v>
      </c>
      <c r="C572" s="271" t="s">
        <v>312</v>
      </c>
      <c r="D572" s="252" t="s">
        <v>198</v>
      </c>
      <c r="E572" s="252" t="s">
        <v>316</v>
      </c>
      <c r="F572" s="252" t="s">
        <v>303</v>
      </c>
      <c r="G572" s="256"/>
      <c r="H572" s="256"/>
      <c r="I572" s="257"/>
      <c r="J572" s="257" t="e">
        <f>#REF!+I572</f>
        <v>#REF!</v>
      </c>
      <c r="K572" s="257"/>
      <c r="L572" s="257" t="e">
        <f t="shared" si="310"/>
        <v>#REF!</v>
      </c>
      <c r="M572" s="257">
        <f t="shared" si="311"/>
        <v>0</v>
      </c>
      <c r="N572" s="257" t="e">
        <f t="shared" si="312"/>
        <v>#REF!</v>
      </c>
    </row>
    <row r="573" spans="1:14" s="35" customFormat="1" ht="54.75" hidden="1" customHeight="1" x14ac:dyDescent="0.2">
      <c r="A573" s="369" t="s">
        <v>379</v>
      </c>
      <c r="B573" s="252">
        <v>801</v>
      </c>
      <c r="C573" s="252" t="s">
        <v>190</v>
      </c>
      <c r="D573" s="252" t="s">
        <v>196</v>
      </c>
      <c r="E573" s="252" t="s">
        <v>380</v>
      </c>
      <c r="F573" s="252"/>
      <c r="G573" s="256"/>
      <c r="H573" s="256"/>
      <c r="I573" s="257">
        <f>I574</f>
        <v>-1331</v>
      </c>
      <c r="J573" s="257" t="e">
        <f>J574</f>
        <v>#REF!</v>
      </c>
      <c r="K573" s="257">
        <f>K574</f>
        <v>-1331</v>
      </c>
      <c r="L573" s="257" t="e">
        <f>L574</f>
        <v>#REF!</v>
      </c>
      <c r="M573" s="257" t="e">
        <f t="shared" ref="M573:N573" si="313">M574</f>
        <v>#REF!</v>
      </c>
      <c r="N573" s="257" t="e">
        <f t="shared" si="313"/>
        <v>#REF!</v>
      </c>
    </row>
    <row r="574" spans="1:14" s="35" customFormat="1" ht="57.75" hidden="1" customHeight="1" x14ac:dyDescent="0.2">
      <c r="A574" s="367" t="s">
        <v>381</v>
      </c>
      <c r="B574" s="252" t="s">
        <v>146</v>
      </c>
      <c r="C574" s="252" t="s">
        <v>190</v>
      </c>
      <c r="D574" s="252" t="s">
        <v>196</v>
      </c>
      <c r="E574" s="252" t="s">
        <v>735</v>
      </c>
      <c r="F574" s="252"/>
      <c r="G574" s="256"/>
      <c r="H574" s="256"/>
      <c r="I574" s="257">
        <f>I575+I576+I577</f>
        <v>-1331</v>
      </c>
      <c r="J574" s="257" t="e">
        <f>J575+J576+J577</f>
        <v>#REF!</v>
      </c>
      <c r="K574" s="257">
        <f>K575+K576+K577</f>
        <v>-1331</v>
      </c>
      <c r="L574" s="257" t="e">
        <f>L575+L576+L577</f>
        <v>#REF!</v>
      </c>
      <c r="M574" s="257" t="e">
        <f t="shared" ref="M574:N574" si="314">M575+M576+M577</f>
        <v>#REF!</v>
      </c>
      <c r="N574" s="257" t="e">
        <f t="shared" si="314"/>
        <v>#REF!</v>
      </c>
    </row>
    <row r="575" spans="1:14" s="35" customFormat="1" ht="12.75" hidden="1" customHeight="1" x14ac:dyDescent="0.2">
      <c r="A575" s="259" t="s">
        <v>95</v>
      </c>
      <c r="B575" s="252" t="s">
        <v>146</v>
      </c>
      <c r="C575" s="252" t="s">
        <v>190</v>
      </c>
      <c r="D575" s="252" t="s">
        <v>196</v>
      </c>
      <c r="E575" s="252" t="s">
        <v>735</v>
      </c>
      <c r="F575" s="252" t="s">
        <v>96</v>
      </c>
      <c r="G575" s="256"/>
      <c r="H575" s="256"/>
      <c r="I575" s="257">
        <v>-1269.5</v>
      </c>
      <c r="J575" s="257" t="e">
        <f>#REF!+I575</f>
        <v>#REF!</v>
      </c>
      <c r="K575" s="257">
        <v>-1269.5</v>
      </c>
      <c r="L575" s="257" t="e">
        <f>#REF!+J575</f>
        <v>#REF!</v>
      </c>
      <c r="M575" s="257" t="e">
        <f>#REF!+K575</f>
        <v>#REF!</v>
      </c>
      <c r="N575" s="257" t="e">
        <f>#REF!+L575</f>
        <v>#REF!</v>
      </c>
    </row>
    <row r="576" spans="1:14" s="35" customFormat="1" ht="12.75" hidden="1" customHeight="1" x14ac:dyDescent="0.2">
      <c r="A576" s="259" t="s">
        <v>97</v>
      </c>
      <c r="B576" s="252" t="s">
        <v>146</v>
      </c>
      <c r="C576" s="252" t="s">
        <v>190</v>
      </c>
      <c r="D576" s="252" t="s">
        <v>196</v>
      </c>
      <c r="E576" s="252" t="s">
        <v>735</v>
      </c>
      <c r="F576" s="252" t="s">
        <v>98</v>
      </c>
      <c r="G576" s="256"/>
      <c r="H576" s="256"/>
      <c r="I576" s="257">
        <v>0</v>
      </c>
      <c r="J576" s="257" t="e">
        <f>#REF!+I576</f>
        <v>#REF!</v>
      </c>
      <c r="K576" s="257">
        <v>0</v>
      </c>
      <c r="L576" s="257" t="e">
        <f>#REF!+J576</f>
        <v>#REF!</v>
      </c>
      <c r="M576" s="257" t="e">
        <f>#REF!+K576</f>
        <v>#REF!</v>
      </c>
      <c r="N576" s="257" t="e">
        <f>#REF!+L576</f>
        <v>#REF!</v>
      </c>
    </row>
    <row r="577" spans="1:14" s="35" customFormat="1" ht="18.75" hidden="1" customHeight="1" x14ac:dyDescent="0.2">
      <c r="A577" s="259" t="s">
        <v>93</v>
      </c>
      <c r="B577" s="252" t="s">
        <v>146</v>
      </c>
      <c r="C577" s="252" t="s">
        <v>190</v>
      </c>
      <c r="D577" s="252" t="s">
        <v>196</v>
      </c>
      <c r="E577" s="252" t="s">
        <v>735</v>
      </c>
      <c r="F577" s="252" t="s">
        <v>94</v>
      </c>
      <c r="G577" s="256"/>
      <c r="H577" s="256"/>
      <c r="I577" s="257">
        <v>-61.5</v>
      </c>
      <c r="J577" s="257" t="e">
        <f>#REF!+I577</f>
        <v>#REF!</v>
      </c>
      <c r="K577" s="257">
        <v>-61.5</v>
      </c>
      <c r="L577" s="257" t="e">
        <f>#REF!+J577</f>
        <v>#REF!</v>
      </c>
      <c r="M577" s="257" t="e">
        <f>#REF!+K577</f>
        <v>#REF!</v>
      </c>
      <c r="N577" s="257" t="e">
        <f>#REF!+L577</f>
        <v>#REF!</v>
      </c>
    </row>
    <row r="578" spans="1:14" s="35" customFormat="1" ht="95.25" hidden="1" customHeight="1" x14ac:dyDescent="0.2">
      <c r="A578" s="367" t="s">
        <v>478</v>
      </c>
      <c r="B578" s="252" t="s">
        <v>146</v>
      </c>
      <c r="C578" s="252" t="s">
        <v>190</v>
      </c>
      <c r="D578" s="252" t="s">
        <v>196</v>
      </c>
      <c r="E578" s="252" t="s">
        <v>479</v>
      </c>
      <c r="F578" s="252"/>
      <c r="G578" s="256"/>
      <c r="H578" s="256"/>
      <c r="I578" s="257">
        <f>I579+I580+I581</f>
        <v>0</v>
      </c>
      <c r="J578" s="257">
        <f>J579+J580+J581</f>
        <v>0</v>
      </c>
      <c r="K578" s="257">
        <f>K579+K580+K581</f>
        <v>0</v>
      </c>
      <c r="L578" s="257">
        <f>L579+L580+L581</f>
        <v>0</v>
      </c>
      <c r="M578" s="257">
        <f t="shared" ref="M578:N578" si="315">M579+M580+M581</f>
        <v>0</v>
      </c>
      <c r="N578" s="257">
        <f t="shared" si="315"/>
        <v>0</v>
      </c>
    </row>
    <row r="579" spans="1:14" s="35" customFormat="1" ht="21" hidden="1" customHeight="1" x14ac:dyDescent="0.2">
      <c r="A579" s="259" t="s">
        <v>95</v>
      </c>
      <c r="B579" s="252" t="s">
        <v>146</v>
      </c>
      <c r="C579" s="252" t="s">
        <v>190</v>
      </c>
      <c r="D579" s="252" t="s">
        <v>196</v>
      </c>
      <c r="E579" s="252" t="s">
        <v>479</v>
      </c>
      <c r="F579" s="252" t="s">
        <v>96</v>
      </c>
      <c r="G579" s="256"/>
      <c r="H579" s="256"/>
      <c r="I579" s="257">
        <v>0</v>
      </c>
      <c r="J579" s="257">
        <f>G579+I579</f>
        <v>0</v>
      </c>
      <c r="K579" s="257">
        <v>0</v>
      </c>
      <c r="L579" s="257">
        <f t="shared" ref="L579:L581" si="316">H579+J579</f>
        <v>0</v>
      </c>
      <c r="M579" s="257">
        <f t="shared" ref="M579:M581" si="317">I579+K579</f>
        <v>0</v>
      </c>
      <c r="N579" s="257">
        <f t="shared" ref="N579:N581" si="318">J579+L579</f>
        <v>0</v>
      </c>
    </row>
    <row r="580" spans="1:14" s="35" customFormat="1" ht="24.75" hidden="1" customHeight="1" x14ac:dyDescent="0.2">
      <c r="A580" s="259" t="s">
        <v>97</v>
      </c>
      <c r="B580" s="252" t="s">
        <v>146</v>
      </c>
      <c r="C580" s="252" t="s">
        <v>190</v>
      </c>
      <c r="D580" s="252" t="s">
        <v>196</v>
      </c>
      <c r="E580" s="252" t="s">
        <v>479</v>
      </c>
      <c r="F580" s="252" t="s">
        <v>98</v>
      </c>
      <c r="G580" s="256"/>
      <c r="H580" s="256"/>
      <c r="I580" s="257">
        <v>0</v>
      </c>
      <c r="J580" s="257">
        <f>G580+I580</f>
        <v>0</v>
      </c>
      <c r="K580" s="257">
        <v>0</v>
      </c>
      <c r="L580" s="257">
        <f t="shared" si="316"/>
        <v>0</v>
      </c>
      <c r="M580" s="257">
        <f t="shared" si="317"/>
        <v>0</v>
      </c>
      <c r="N580" s="257">
        <f t="shared" si="318"/>
        <v>0</v>
      </c>
    </row>
    <row r="581" spans="1:14" s="35" customFormat="1" ht="28.5" hidden="1" customHeight="1" x14ac:dyDescent="0.2">
      <c r="A581" s="259" t="s">
        <v>93</v>
      </c>
      <c r="B581" s="252" t="s">
        <v>146</v>
      </c>
      <c r="C581" s="252" t="s">
        <v>190</v>
      </c>
      <c r="D581" s="252" t="s">
        <v>196</v>
      </c>
      <c r="E581" s="252" t="s">
        <v>479</v>
      </c>
      <c r="F581" s="252" t="s">
        <v>94</v>
      </c>
      <c r="G581" s="256"/>
      <c r="H581" s="256"/>
      <c r="I581" s="257">
        <v>0</v>
      </c>
      <c r="J581" s="257">
        <f>G581+I581</f>
        <v>0</v>
      </c>
      <c r="K581" s="257">
        <v>0</v>
      </c>
      <c r="L581" s="257">
        <f t="shared" si="316"/>
        <v>0</v>
      </c>
      <c r="M581" s="257">
        <f t="shared" si="317"/>
        <v>0</v>
      </c>
      <c r="N581" s="257">
        <f t="shared" si="318"/>
        <v>0</v>
      </c>
    </row>
    <row r="582" spans="1:14" s="45" customFormat="1" ht="14.25" hidden="1" customHeight="1" x14ac:dyDescent="0.2">
      <c r="A582" s="259" t="s">
        <v>505</v>
      </c>
      <c r="B582" s="271">
        <v>801</v>
      </c>
      <c r="C582" s="271" t="s">
        <v>312</v>
      </c>
      <c r="D582" s="252" t="s">
        <v>196</v>
      </c>
      <c r="E582" s="251" t="s">
        <v>507</v>
      </c>
      <c r="F582" s="271"/>
      <c r="G582" s="256"/>
      <c r="H582" s="256"/>
      <c r="I582" s="257">
        <f>I583</f>
        <v>-13512.5</v>
      </c>
      <c r="J582" s="257" t="e">
        <f>J583</f>
        <v>#REF!</v>
      </c>
      <c r="K582" s="257">
        <f>K583</f>
        <v>-13512.5</v>
      </c>
      <c r="L582" s="257" t="e">
        <f>L583</f>
        <v>#REF!</v>
      </c>
      <c r="M582" s="257" t="e">
        <f t="shared" ref="M582:N582" si="319">M583</f>
        <v>#REF!</v>
      </c>
      <c r="N582" s="257" t="e">
        <f t="shared" si="319"/>
        <v>#REF!</v>
      </c>
    </row>
    <row r="583" spans="1:14" s="45" customFormat="1" ht="17.25" hidden="1" customHeight="1" x14ac:dyDescent="0.2">
      <c r="A583" s="259" t="s">
        <v>506</v>
      </c>
      <c r="B583" s="271">
        <v>801</v>
      </c>
      <c r="C583" s="271" t="s">
        <v>312</v>
      </c>
      <c r="D583" s="252" t="s">
        <v>196</v>
      </c>
      <c r="E583" s="260" t="s">
        <v>467</v>
      </c>
      <c r="F583" s="252"/>
      <c r="G583" s="256"/>
      <c r="H583" s="256"/>
      <c r="I583" s="257">
        <f>I584+I585+I586+I587+I588+I589</f>
        <v>-13512.5</v>
      </c>
      <c r="J583" s="257" t="e">
        <f>J584+J585+J586+J587+J588+J589</f>
        <v>#REF!</v>
      </c>
      <c r="K583" s="257">
        <f>K584+K585+K586+K587+K588+K589</f>
        <v>-13512.5</v>
      </c>
      <c r="L583" s="257" t="e">
        <f>L584+L585+L586+L587+L588+L589</f>
        <v>#REF!</v>
      </c>
      <c r="M583" s="257" t="e">
        <f t="shared" ref="M583:N583" si="320">M584+M585+M586+M587+M588+M589</f>
        <v>#REF!</v>
      </c>
      <c r="N583" s="257" t="e">
        <f t="shared" si="320"/>
        <v>#REF!</v>
      </c>
    </row>
    <row r="584" spans="1:14" s="45" customFormat="1" ht="15" hidden="1" customHeight="1" x14ac:dyDescent="0.2">
      <c r="A584" s="259" t="s">
        <v>95</v>
      </c>
      <c r="B584" s="271">
        <v>801</v>
      </c>
      <c r="C584" s="271" t="s">
        <v>312</v>
      </c>
      <c r="D584" s="252" t="s">
        <v>196</v>
      </c>
      <c r="E584" s="260" t="s">
        <v>467</v>
      </c>
      <c r="F584" s="252" t="s">
        <v>96</v>
      </c>
      <c r="G584" s="256"/>
      <c r="H584" s="256"/>
      <c r="I584" s="257">
        <v>-10282.5</v>
      </c>
      <c r="J584" s="257" t="e">
        <f>#REF!+I584</f>
        <v>#REF!</v>
      </c>
      <c r="K584" s="257">
        <v>-10282.5</v>
      </c>
      <c r="L584" s="257" t="e">
        <f>#REF!+J584</f>
        <v>#REF!</v>
      </c>
      <c r="M584" s="257" t="e">
        <f>#REF!+K584</f>
        <v>#REF!</v>
      </c>
      <c r="N584" s="257" t="e">
        <f>#REF!+L584</f>
        <v>#REF!</v>
      </c>
    </row>
    <row r="585" spans="1:14" s="45" customFormat="1" ht="18" hidden="1" customHeight="1" x14ac:dyDescent="0.2">
      <c r="A585" s="259" t="s">
        <v>97</v>
      </c>
      <c r="B585" s="271">
        <v>801</v>
      </c>
      <c r="C585" s="271" t="s">
        <v>312</v>
      </c>
      <c r="D585" s="252" t="s">
        <v>196</v>
      </c>
      <c r="E585" s="260" t="s">
        <v>467</v>
      </c>
      <c r="F585" s="252" t="s">
        <v>98</v>
      </c>
      <c r="G585" s="256"/>
      <c r="H585" s="256"/>
      <c r="I585" s="257">
        <v>-480</v>
      </c>
      <c r="J585" s="257" t="e">
        <f>#REF!+I585</f>
        <v>#REF!</v>
      </c>
      <c r="K585" s="257">
        <v>-480</v>
      </c>
      <c r="L585" s="257" t="e">
        <f>#REF!+J585</f>
        <v>#REF!</v>
      </c>
      <c r="M585" s="257" t="e">
        <f>#REF!+K585</f>
        <v>#REF!</v>
      </c>
      <c r="N585" s="257" t="e">
        <f>#REF!+L585</f>
        <v>#REF!</v>
      </c>
    </row>
    <row r="586" spans="1:14" s="45" customFormat="1" ht="12" hidden="1" customHeight="1" x14ac:dyDescent="0.25">
      <c r="A586" s="357" t="s">
        <v>99</v>
      </c>
      <c r="B586" s="271">
        <v>801</v>
      </c>
      <c r="C586" s="271" t="s">
        <v>312</v>
      </c>
      <c r="D586" s="252" t="s">
        <v>196</v>
      </c>
      <c r="E586" s="260" t="s">
        <v>467</v>
      </c>
      <c r="F586" s="252" t="s">
        <v>100</v>
      </c>
      <c r="G586" s="256"/>
      <c r="H586" s="256"/>
      <c r="I586" s="257">
        <v>-500</v>
      </c>
      <c r="J586" s="257" t="e">
        <f>#REF!+I586</f>
        <v>#REF!</v>
      </c>
      <c r="K586" s="257">
        <v>-500</v>
      </c>
      <c r="L586" s="257" t="e">
        <f>#REF!+J586</f>
        <v>#REF!</v>
      </c>
      <c r="M586" s="257" t="e">
        <f>#REF!+K586</f>
        <v>#REF!</v>
      </c>
      <c r="N586" s="257" t="e">
        <f>#REF!+L586</f>
        <v>#REF!</v>
      </c>
    </row>
    <row r="587" spans="1:14" s="45" customFormat="1" ht="14.25" hidden="1" customHeight="1" x14ac:dyDescent="0.2">
      <c r="A587" s="259" t="s">
        <v>93</v>
      </c>
      <c r="B587" s="271">
        <v>801</v>
      </c>
      <c r="C587" s="271" t="s">
        <v>312</v>
      </c>
      <c r="D587" s="252" t="s">
        <v>196</v>
      </c>
      <c r="E587" s="260" t="s">
        <v>467</v>
      </c>
      <c r="F587" s="252" t="s">
        <v>94</v>
      </c>
      <c r="G587" s="256"/>
      <c r="H587" s="256"/>
      <c r="I587" s="257">
        <v>-2000</v>
      </c>
      <c r="J587" s="257" t="e">
        <f>#REF!+I587</f>
        <v>#REF!</v>
      </c>
      <c r="K587" s="257">
        <v>-2000</v>
      </c>
      <c r="L587" s="257" t="e">
        <f>#REF!+J587</f>
        <v>#REF!</v>
      </c>
      <c r="M587" s="257" t="e">
        <f>#REF!+K587</f>
        <v>#REF!</v>
      </c>
      <c r="N587" s="257" t="e">
        <f>#REF!+L587</f>
        <v>#REF!</v>
      </c>
    </row>
    <row r="588" spans="1:14" s="45" customFormat="1" ht="16.5" hidden="1" customHeight="1" x14ac:dyDescent="0.2">
      <c r="A588" s="259" t="s">
        <v>103</v>
      </c>
      <c r="B588" s="271">
        <v>801</v>
      </c>
      <c r="C588" s="271" t="s">
        <v>312</v>
      </c>
      <c r="D588" s="252" t="s">
        <v>196</v>
      </c>
      <c r="E588" s="260" t="s">
        <v>467</v>
      </c>
      <c r="F588" s="252" t="s">
        <v>104</v>
      </c>
      <c r="G588" s="256"/>
      <c r="H588" s="256"/>
      <c r="I588" s="257">
        <v>-210</v>
      </c>
      <c r="J588" s="257" t="e">
        <f>#REF!+I588</f>
        <v>#REF!</v>
      </c>
      <c r="K588" s="257">
        <v>-210</v>
      </c>
      <c r="L588" s="257" t="e">
        <f>#REF!+J588</f>
        <v>#REF!</v>
      </c>
      <c r="M588" s="257" t="e">
        <f>#REF!+K588</f>
        <v>#REF!</v>
      </c>
      <c r="N588" s="257" t="e">
        <f>#REF!+L588</f>
        <v>#REF!</v>
      </c>
    </row>
    <row r="589" spans="1:14" s="45" customFormat="1" ht="15.75" hidden="1" customHeight="1" x14ac:dyDescent="0.2">
      <c r="A589" s="259" t="s">
        <v>105</v>
      </c>
      <c r="B589" s="271">
        <v>801</v>
      </c>
      <c r="C589" s="271" t="s">
        <v>312</v>
      </c>
      <c r="D589" s="252" t="s">
        <v>196</v>
      </c>
      <c r="E589" s="260" t="s">
        <v>467</v>
      </c>
      <c r="F589" s="252" t="s">
        <v>106</v>
      </c>
      <c r="G589" s="256"/>
      <c r="H589" s="256"/>
      <c r="I589" s="257">
        <v>-40</v>
      </c>
      <c r="J589" s="257" t="e">
        <f>#REF!+I589</f>
        <v>#REF!</v>
      </c>
      <c r="K589" s="257">
        <v>-40</v>
      </c>
      <c r="L589" s="257" t="e">
        <f>#REF!+J589</f>
        <v>#REF!</v>
      </c>
      <c r="M589" s="257" t="e">
        <f>#REF!+K589</f>
        <v>#REF!</v>
      </c>
      <c r="N589" s="257" t="e">
        <f>#REF!+L589</f>
        <v>#REF!</v>
      </c>
    </row>
    <row r="590" spans="1:14" s="45" customFormat="1" ht="21.75" customHeight="1" x14ac:dyDescent="0.2">
      <c r="A590" s="259" t="s">
        <v>506</v>
      </c>
      <c r="B590" s="271">
        <v>801</v>
      </c>
      <c r="C590" s="271" t="s">
        <v>312</v>
      </c>
      <c r="D590" s="252" t="s">
        <v>196</v>
      </c>
      <c r="E590" s="260" t="s">
        <v>868</v>
      </c>
      <c r="F590" s="252"/>
      <c r="G590" s="257" t="e">
        <f>#REF!+#REF!+#REF!+#REF!+#REF!+#REF!</f>
        <v>#REF!</v>
      </c>
      <c r="H590" s="257">
        <f t="shared" ref="H590:L590" si="321">H591+H592+H593+H594+H595+H596+H597+H598</f>
        <v>13783</v>
      </c>
      <c r="I590" s="257">
        <f t="shared" si="321"/>
        <v>-1216.6000000000001</v>
      </c>
      <c r="J590" s="257">
        <f t="shared" si="321"/>
        <v>12566.4</v>
      </c>
      <c r="K590" s="257">
        <f t="shared" si="321"/>
        <v>4.0000000000000036E-2</v>
      </c>
      <c r="L590" s="257">
        <f t="shared" si="321"/>
        <v>12984</v>
      </c>
      <c r="M590" s="257">
        <f>M591+M592+M593+M594+M595+M596+M597+M598</f>
        <v>-3646</v>
      </c>
      <c r="N590" s="257">
        <f>N591+N592+N593+N594+N595+N596+N597+N598</f>
        <v>9338</v>
      </c>
    </row>
    <row r="591" spans="1:14" s="45" customFormat="1" ht="26.25" customHeight="1" x14ac:dyDescent="0.2">
      <c r="A591" s="381" t="s">
        <v>907</v>
      </c>
      <c r="B591" s="271">
        <v>801</v>
      </c>
      <c r="C591" s="271" t="s">
        <v>312</v>
      </c>
      <c r="D591" s="252" t="s">
        <v>196</v>
      </c>
      <c r="E591" s="260" t="s">
        <v>868</v>
      </c>
      <c r="F591" s="252" t="s">
        <v>96</v>
      </c>
      <c r="G591" s="256"/>
      <c r="H591" s="257">
        <v>8163</v>
      </c>
      <c r="I591" s="257">
        <v>-2300.4</v>
      </c>
      <c r="J591" s="257">
        <f>H591+I591</f>
        <v>5862.6</v>
      </c>
      <c r="K591" s="257">
        <v>0.05</v>
      </c>
      <c r="L591" s="257">
        <f>5161+68</f>
        <v>5229</v>
      </c>
      <c r="M591" s="257">
        <v>211</v>
      </c>
      <c r="N591" s="257">
        <f>L591+M591</f>
        <v>5440</v>
      </c>
    </row>
    <row r="592" spans="1:14" s="45" customFormat="1" ht="15.75" customHeight="1" x14ac:dyDescent="0.2">
      <c r="A592" s="259" t="s">
        <v>97</v>
      </c>
      <c r="B592" s="271">
        <v>801</v>
      </c>
      <c r="C592" s="252" t="s">
        <v>190</v>
      </c>
      <c r="D592" s="252" t="s">
        <v>196</v>
      </c>
      <c r="E592" s="260" t="s">
        <v>868</v>
      </c>
      <c r="F592" s="252" t="s">
        <v>98</v>
      </c>
      <c r="G592" s="256"/>
      <c r="H592" s="257">
        <v>480</v>
      </c>
      <c r="I592" s="257">
        <v>0</v>
      </c>
      <c r="J592" s="257">
        <f t="shared" ref="J592:J597" si="322">H592+I592</f>
        <v>480</v>
      </c>
      <c r="K592" s="257">
        <v>0</v>
      </c>
      <c r="L592" s="257">
        <v>480</v>
      </c>
      <c r="M592" s="257">
        <v>-430</v>
      </c>
      <c r="N592" s="257">
        <f>L592+M592</f>
        <v>50</v>
      </c>
    </row>
    <row r="593" spans="1:14" s="45" customFormat="1" ht="33" customHeight="1" x14ac:dyDescent="0.2">
      <c r="A593" s="361" t="s">
        <v>898</v>
      </c>
      <c r="B593" s="271">
        <v>801</v>
      </c>
      <c r="C593" s="252" t="s">
        <v>190</v>
      </c>
      <c r="D593" s="252" t="s">
        <v>196</v>
      </c>
      <c r="E593" s="260" t="s">
        <v>868</v>
      </c>
      <c r="F593" s="252" t="s">
        <v>896</v>
      </c>
      <c r="G593" s="256"/>
      <c r="H593" s="257"/>
      <c r="I593" s="257">
        <v>1508.1</v>
      </c>
      <c r="J593" s="257">
        <f t="shared" si="322"/>
        <v>1508.1</v>
      </c>
      <c r="K593" s="257">
        <v>0.02</v>
      </c>
      <c r="L593" s="257">
        <f>1559+62</f>
        <v>1621</v>
      </c>
      <c r="M593" s="257">
        <v>22</v>
      </c>
      <c r="N593" s="257">
        <f t="shared" ref="N593:N598" si="323">L593+M593</f>
        <v>1643</v>
      </c>
    </row>
    <row r="594" spans="1:14" s="45" customFormat="1" ht="15" customHeight="1" x14ac:dyDescent="0.25">
      <c r="A594" s="357" t="s">
        <v>99</v>
      </c>
      <c r="B594" s="271">
        <v>801</v>
      </c>
      <c r="C594" s="252" t="s">
        <v>190</v>
      </c>
      <c r="D594" s="252" t="s">
        <v>196</v>
      </c>
      <c r="E594" s="260" t="s">
        <v>868</v>
      </c>
      <c r="F594" s="252" t="s">
        <v>100</v>
      </c>
      <c r="G594" s="256"/>
      <c r="H594" s="257">
        <v>850</v>
      </c>
      <c r="I594" s="257">
        <v>0</v>
      </c>
      <c r="J594" s="257">
        <f t="shared" si="322"/>
        <v>850</v>
      </c>
      <c r="K594" s="257">
        <v>0</v>
      </c>
      <c r="L594" s="257">
        <v>850</v>
      </c>
      <c r="M594" s="257">
        <v>-450</v>
      </c>
      <c r="N594" s="257">
        <f t="shared" si="323"/>
        <v>400</v>
      </c>
    </row>
    <row r="595" spans="1:14" s="45" customFormat="1" ht="15" customHeight="1" x14ac:dyDescent="0.2">
      <c r="A595" s="259" t="s">
        <v>93</v>
      </c>
      <c r="B595" s="271">
        <v>801</v>
      </c>
      <c r="C595" s="271" t="s">
        <v>312</v>
      </c>
      <c r="D595" s="252" t="s">
        <v>196</v>
      </c>
      <c r="E595" s="260" t="s">
        <v>868</v>
      </c>
      <c r="F595" s="252" t="s">
        <v>94</v>
      </c>
      <c r="G595" s="256"/>
      <c r="H595" s="257">
        <v>4000</v>
      </c>
      <c r="I595" s="257">
        <v>-437.6</v>
      </c>
      <c r="J595" s="257">
        <f t="shared" si="322"/>
        <v>3562.4</v>
      </c>
      <c r="K595" s="257">
        <v>-0.03</v>
      </c>
      <c r="L595" s="257">
        <v>4500</v>
      </c>
      <c r="M595" s="257">
        <v>-2695</v>
      </c>
      <c r="N595" s="257">
        <f t="shared" si="323"/>
        <v>1805</v>
      </c>
    </row>
    <row r="596" spans="1:14" s="45" customFormat="1" ht="15.75" customHeight="1" x14ac:dyDescent="0.2">
      <c r="A596" s="259" t="s">
        <v>103</v>
      </c>
      <c r="B596" s="271">
        <v>801</v>
      </c>
      <c r="C596" s="271" t="s">
        <v>312</v>
      </c>
      <c r="D596" s="252" t="s">
        <v>196</v>
      </c>
      <c r="E596" s="260" t="s">
        <v>868</v>
      </c>
      <c r="F596" s="252" t="s">
        <v>104</v>
      </c>
      <c r="G596" s="256"/>
      <c r="H596" s="257">
        <v>210</v>
      </c>
      <c r="I596" s="257">
        <v>-5</v>
      </c>
      <c r="J596" s="257">
        <f t="shared" si="322"/>
        <v>205</v>
      </c>
      <c r="K596" s="257">
        <v>-5</v>
      </c>
      <c r="L596" s="257">
        <v>230</v>
      </c>
      <c r="M596" s="257">
        <v>-230</v>
      </c>
      <c r="N596" s="257">
        <f t="shared" si="323"/>
        <v>0</v>
      </c>
    </row>
    <row r="597" spans="1:14" s="45" customFormat="1" ht="15.75" customHeight="1" x14ac:dyDescent="0.2">
      <c r="A597" s="259" t="s">
        <v>105</v>
      </c>
      <c r="B597" s="271">
        <v>801</v>
      </c>
      <c r="C597" s="271" t="s">
        <v>312</v>
      </c>
      <c r="D597" s="252" t="s">
        <v>196</v>
      </c>
      <c r="E597" s="260" t="s">
        <v>868</v>
      </c>
      <c r="F597" s="252" t="s">
        <v>106</v>
      </c>
      <c r="G597" s="256"/>
      <c r="H597" s="257">
        <v>80</v>
      </c>
      <c r="I597" s="257">
        <v>13.3</v>
      </c>
      <c r="J597" s="257">
        <f t="shared" si="322"/>
        <v>93.3</v>
      </c>
      <c r="K597" s="257">
        <v>0</v>
      </c>
      <c r="L597" s="257">
        <v>74</v>
      </c>
      <c r="M597" s="257">
        <v>-74</v>
      </c>
      <c r="N597" s="257">
        <f t="shared" si="323"/>
        <v>0</v>
      </c>
    </row>
    <row r="598" spans="1:14" s="45" customFormat="1" ht="15.75" hidden="1" customHeight="1" x14ac:dyDescent="0.2">
      <c r="A598" s="375" t="s">
        <v>906</v>
      </c>
      <c r="B598" s="271">
        <v>801</v>
      </c>
      <c r="C598" s="271" t="s">
        <v>312</v>
      </c>
      <c r="D598" s="252" t="s">
        <v>196</v>
      </c>
      <c r="E598" s="260" t="s">
        <v>868</v>
      </c>
      <c r="F598" s="252" t="s">
        <v>905</v>
      </c>
      <c r="G598" s="256"/>
      <c r="H598" s="257">
        <v>0</v>
      </c>
      <c r="I598" s="257">
        <v>5</v>
      </c>
      <c r="J598" s="257">
        <f>H598+I598</f>
        <v>5</v>
      </c>
      <c r="K598" s="257">
        <v>5</v>
      </c>
      <c r="L598" s="257">
        <v>0</v>
      </c>
      <c r="M598" s="257">
        <v>0</v>
      </c>
      <c r="N598" s="257">
        <f t="shared" si="323"/>
        <v>0</v>
      </c>
    </row>
    <row r="599" spans="1:14" s="45" customFormat="1" ht="15.75" customHeight="1" x14ac:dyDescent="0.2">
      <c r="A599" s="269" t="s">
        <v>893</v>
      </c>
      <c r="B599" s="370">
        <v>801</v>
      </c>
      <c r="C599" s="370" t="s">
        <v>312</v>
      </c>
      <c r="D599" s="356" t="s">
        <v>196</v>
      </c>
      <c r="E599" s="371" t="s">
        <v>892</v>
      </c>
      <c r="F599" s="356"/>
      <c r="G599" s="256"/>
      <c r="H599" s="275">
        <f t="shared" ref="H599:N599" si="324">H600+H601</f>
        <v>600</v>
      </c>
      <c r="I599" s="275">
        <f t="shared" si="324"/>
        <v>0</v>
      </c>
      <c r="J599" s="275">
        <f t="shared" si="324"/>
        <v>600</v>
      </c>
      <c r="K599" s="275">
        <f t="shared" si="324"/>
        <v>0</v>
      </c>
      <c r="L599" s="275">
        <f t="shared" si="324"/>
        <v>614</v>
      </c>
      <c r="M599" s="275">
        <f t="shared" si="324"/>
        <v>6</v>
      </c>
      <c r="N599" s="275">
        <f t="shared" si="324"/>
        <v>620</v>
      </c>
    </row>
    <row r="600" spans="1:14" s="45" customFormat="1" ht="16.5" customHeight="1" x14ac:dyDescent="0.2">
      <c r="A600" s="381" t="s">
        <v>907</v>
      </c>
      <c r="B600" s="271">
        <v>801</v>
      </c>
      <c r="C600" s="271" t="s">
        <v>312</v>
      </c>
      <c r="D600" s="252" t="s">
        <v>196</v>
      </c>
      <c r="E600" s="260" t="s">
        <v>892</v>
      </c>
      <c r="F600" s="252" t="s">
        <v>96</v>
      </c>
      <c r="G600" s="256"/>
      <c r="H600" s="257">
        <v>600</v>
      </c>
      <c r="I600" s="257">
        <v>-139.19999999999999</v>
      </c>
      <c r="J600" s="257">
        <f>H600+I600</f>
        <v>460.8</v>
      </c>
      <c r="K600" s="257">
        <v>0.03</v>
      </c>
      <c r="L600" s="257">
        <f>968-497</f>
        <v>471</v>
      </c>
      <c r="M600" s="257">
        <v>5</v>
      </c>
      <c r="N600" s="257">
        <f>L600+M600</f>
        <v>476</v>
      </c>
    </row>
    <row r="601" spans="1:14" s="45" customFormat="1" ht="30.75" customHeight="1" x14ac:dyDescent="0.2">
      <c r="A601" s="361" t="s">
        <v>898</v>
      </c>
      <c r="B601" s="271">
        <v>801</v>
      </c>
      <c r="C601" s="271" t="s">
        <v>312</v>
      </c>
      <c r="D601" s="252" t="s">
        <v>196</v>
      </c>
      <c r="E601" s="260" t="s">
        <v>892</v>
      </c>
      <c r="F601" s="252" t="s">
        <v>896</v>
      </c>
      <c r="G601" s="256"/>
      <c r="H601" s="257">
        <v>0</v>
      </c>
      <c r="I601" s="257">
        <v>139.19999999999999</v>
      </c>
      <c r="J601" s="257">
        <f>H601+I601</f>
        <v>139.19999999999999</v>
      </c>
      <c r="K601" s="257">
        <v>-0.03</v>
      </c>
      <c r="L601" s="257">
        <f>293-150</f>
        <v>143</v>
      </c>
      <c r="M601" s="257">
        <v>1</v>
      </c>
      <c r="N601" s="257">
        <f>L601+M601</f>
        <v>144</v>
      </c>
    </row>
    <row r="602" spans="1:14" s="45" customFormat="1" ht="43.5" customHeight="1" x14ac:dyDescent="0.2">
      <c r="A602" s="259" t="s">
        <v>811</v>
      </c>
      <c r="B602" s="271">
        <v>801</v>
      </c>
      <c r="C602" s="271" t="s">
        <v>312</v>
      </c>
      <c r="D602" s="252" t="s">
        <v>196</v>
      </c>
      <c r="E602" s="260" t="s">
        <v>810</v>
      </c>
      <c r="F602" s="252"/>
      <c r="G602" s="256"/>
      <c r="H602" s="257">
        <f t="shared" ref="H602:N602" si="325">H603</f>
        <v>31</v>
      </c>
      <c r="I602" s="257">
        <f t="shared" si="325"/>
        <v>0</v>
      </c>
      <c r="J602" s="257">
        <f t="shared" si="325"/>
        <v>31</v>
      </c>
      <c r="K602" s="257">
        <f t="shared" si="325"/>
        <v>0</v>
      </c>
      <c r="L602" s="257">
        <f t="shared" si="325"/>
        <v>33.5</v>
      </c>
      <c r="M602" s="257">
        <f t="shared" si="325"/>
        <v>2.2999999999999998</v>
      </c>
      <c r="N602" s="257">
        <f t="shared" si="325"/>
        <v>35.799999999999997</v>
      </c>
    </row>
    <row r="603" spans="1:14" s="45" customFormat="1" ht="18.75" customHeight="1" x14ac:dyDescent="0.2">
      <c r="A603" s="259" t="s">
        <v>93</v>
      </c>
      <c r="B603" s="271">
        <v>801</v>
      </c>
      <c r="C603" s="271" t="s">
        <v>312</v>
      </c>
      <c r="D603" s="252" t="s">
        <v>196</v>
      </c>
      <c r="E603" s="260" t="s">
        <v>810</v>
      </c>
      <c r="F603" s="252" t="s">
        <v>94</v>
      </c>
      <c r="G603" s="256"/>
      <c r="H603" s="257">
        <v>31</v>
      </c>
      <c r="I603" s="257">
        <v>0</v>
      </c>
      <c r="J603" s="257">
        <f>H603+I603</f>
        <v>31</v>
      </c>
      <c r="K603" s="257">
        <v>0</v>
      </c>
      <c r="L603" s="257">
        <v>33.5</v>
      </c>
      <c r="M603" s="257">
        <v>2.2999999999999998</v>
      </c>
      <c r="N603" s="257">
        <f>L603+M603</f>
        <v>35.799999999999997</v>
      </c>
    </row>
    <row r="604" spans="1:14" s="45" customFormat="1" ht="30.75" customHeight="1" x14ac:dyDescent="0.2">
      <c r="A604" s="259" t="s">
        <v>787</v>
      </c>
      <c r="B604" s="249">
        <v>801</v>
      </c>
      <c r="C604" s="249" t="s">
        <v>312</v>
      </c>
      <c r="D604" s="250" t="s">
        <v>196</v>
      </c>
      <c r="E604" s="365" t="s">
        <v>788</v>
      </c>
      <c r="F604" s="250"/>
      <c r="G604" s="264"/>
      <c r="H604" s="275">
        <f t="shared" ref="H604:N604" si="326">H605+H606</f>
        <v>0</v>
      </c>
      <c r="I604" s="275">
        <f t="shared" si="326"/>
        <v>80.099999999999994</v>
      </c>
      <c r="J604" s="275">
        <f t="shared" si="326"/>
        <v>80.099999999999994</v>
      </c>
      <c r="K604" s="275">
        <f t="shared" si="326"/>
        <v>0</v>
      </c>
      <c r="L604" s="275">
        <f t="shared" si="326"/>
        <v>76.400000000000006</v>
      </c>
      <c r="M604" s="275">
        <f t="shared" si="326"/>
        <v>-76.400000000000006</v>
      </c>
      <c r="N604" s="275">
        <f t="shared" si="326"/>
        <v>0</v>
      </c>
    </row>
    <row r="605" spans="1:14" s="45" customFormat="1" ht="22.5" customHeight="1" x14ac:dyDescent="0.2">
      <c r="A605" s="381" t="s">
        <v>907</v>
      </c>
      <c r="B605" s="271">
        <v>801</v>
      </c>
      <c r="C605" s="271" t="s">
        <v>312</v>
      </c>
      <c r="D605" s="252" t="s">
        <v>196</v>
      </c>
      <c r="E605" s="260" t="s">
        <v>788</v>
      </c>
      <c r="F605" s="252" t="s">
        <v>96</v>
      </c>
      <c r="G605" s="256"/>
      <c r="H605" s="257">
        <v>0</v>
      </c>
      <c r="I605" s="257">
        <v>61.4</v>
      </c>
      <c r="J605" s="257">
        <f>H605+I605</f>
        <v>61.4</v>
      </c>
      <c r="K605" s="257">
        <v>0.04</v>
      </c>
      <c r="L605" s="257">
        <v>58.7</v>
      </c>
      <c r="M605" s="257">
        <v>-58.7</v>
      </c>
      <c r="N605" s="257">
        <f>L605+M605</f>
        <v>0</v>
      </c>
    </row>
    <row r="606" spans="1:14" s="45" customFormat="1" ht="31.5" customHeight="1" x14ac:dyDescent="0.2">
      <c r="A606" s="361" t="s">
        <v>898</v>
      </c>
      <c r="B606" s="271">
        <v>801</v>
      </c>
      <c r="C606" s="271" t="s">
        <v>312</v>
      </c>
      <c r="D606" s="252" t="s">
        <v>196</v>
      </c>
      <c r="E606" s="260" t="s">
        <v>788</v>
      </c>
      <c r="F606" s="252" t="s">
        <v>896</v>
      </c>
      <c r="G606" s="256"/>
      <c r="H606" s="257">
        <v>0</v>
      </c>
      <c r="I606" s="257">
        <v>18.7</v>
      </c>
      <c r="J606" s="257">
        <f>H606+I606</f>
        <v>18.7</v>
      </c>
      <c r="K606" s="257">
        <v>-0.04</v>
      </c>
      <c r="L606" s="257">
        <v>17.7</v>
      </c>
      <c r="M606" s="257">
        <v>-17.7</v>
      </c>
      <c r="N606" s="257">
        <f>L606+M606</f>
        <v>0</v>
      </c>
    </row>
    <row r="607" spans="1:14" s="45" customFormat="1" ht="35.25" customHeight="1" x14ac:dyDescent="0.2">
      <c r="A607" s="259" t="s">
        <v>943</v>
      </c>
      <c r="B607" s="249">
        <v>801</v>
      </c>
      <c r="C607" s="249" t="s">
        <v>312</v>
      </c>
      <c r="D607" s="250" t="s">
        <v>196</v>
      </c>
      <c r="E607" s="365" t="s">
        <v>871</v>
      </c>
      <c r="F607" s="250"/>
      <c r="G607" s="275">
        <f>G608+G609+G611+G612</f>
        <v>0</v>
      </c>
      <c r="H607" s="275">
        <f t="shared" ref="H607:N607" si="327">H608+H609+H610+H611+H612</f>
        <v>1331</v>
      </c>
      <c r="I607" s="275">
        <f t="shared" si="327"/>
        <v>0</v>
      </c>
      <c r="J607" s="275">
        <f t="shared" si="327"/>
        <v>1331</v>
      </c>
      <c r="K607" s="275">
        <f t="shared" si="327"/>
        <v>0</v>
      </c>
      <c r="L607" s="275">
        <f t="shared" si="327"/>
        <v>1369</v>
      </c>
      <c r="M607" s="275">
        <f t="shared" si="327"/>
        <v>21.7</v>
      </c>
      <c r="N607" s="275">
        <f t="shared" si="327"/>
        <v>1390.7</v>
      </c>
    </row>
    <row r="608" spans="1:14" s="45" customFormat="1" ht="15.75" customHeight="1" x14ac:dyDescent="0.2">
      <c r="A608" s="259" t="s">
        <v>95</v>
      </c>
      <c r="B608" s="271">
        <v>801</v>
      </c>
      <c r="C608" s="271" t="s">
        <v>312</v>
      </c>
      <c r="D608" s="252" t="s">
        <v>196</v>
      </c>
      <c r="E608" s="260" t="s">
        <v>871</v>
      </c>
      <c r="F608" s="252" t="s">
        <v>96</v>
      </c>
      <c r="G608" s="256"/>
      <c r="H608" s="257">
        <v>1300</v>
      </c>
      <c r="I608" s="257">
        <v>-286.79000000000002</v>
      </c>
      <c r="J608" s="257">
        <f>H608+I608</f>
        <v>1013.21</v>
      </c>
      <c r="K608" s="257">
        <v>0</v>
      </c>
      <c r="L608" s="257">
        <v>1014</v>
      </c>
      <c r="M608" s="257">
        <v>12</v>
      </c>
      <c r="N608" s="257">
        <f>L608+M608</f>
        <v>1026</v>
      </c>
    </row>
    <row r="609" spans="1:14" s="45" customFormat="1" ht="15.75" customHeight="1" x14ac:dyDescent="0.2">
      <c r="A609" s="259" t="s">
        <v>97</v>
      </c>
      <c r="B609" s="271">
        <v>801</v>
      </c>
      <c r="C609" s="271" t="s">
        <v>312</v>
      </c>
      <c r="D609" s="252" t="s">
        <v>196</v>
      </c>
      <c r="E609" s="260" t="s">
        <v>871</v>
      </c>
      <c r="F609" s="252" t="s">
        <v>98</v>
      </c>
      <c r="G609" s="256"/>
      <c r="H609" s="257">
        <v>6</v>
      </c>
      <c r="I609" s="257">
        <v>0</v>
      </c>
      <c r="J609" s="257">
        <f>H609+I609</f>
        <v>6</v>
      </c>
      <c r="K609" s="257">
        <v>0</v>
      </c>
      <c r="L609" s="257">
        <f t="shared" ref="L609:L611" si="328">I609+J609</f>
        <v>6</v>
      </c>
      <c r="M609" s="257">
        <v>0</v>
      </c>
      <c r="N609" s="257">
        <f t="shared" ref="N609:N612" si="329">L609+M609</f>
        <v>6</v>
      </c>
    </row>
    <row r="610" spans="1:14" s="45" customFormat="1" ht="37.5" customHeight="1" x14ac:dyDescent="0.2">
      <c r="A610" s="361" t="s">
        <v>898</v>
      </c>
      <c r="B610" s="271">
        <v>801</v>
      </c>
      <c r="C610" s="271" t="s">
        <v>312</v>
      </c>
      <c r="D610" s="252" t="s">
        <v>196</v>
      </c>
      <c r="E610" s="260" t="s">
        <v>871</v>
      </c>
      <c r="F610" s="252" t="s">
        <v>896</v>
      </c>
      <c r="G610" s="256"/>
      <c r="H610" s="257">
        <v>0</v>
      </c>
      <c r="I610" s="257">
        <v>286.79000000000002</v>
      </c>
      <c r="J610" s="257">
        <f>H610+I610</f>
        <v>286.79000000000002</v>
      </c>
      <c r="K610" s="257">
        <v>0</v>
      </c>
      <c r="L610" s="257">
        <v>306</v>
      </c>
      <c r="M610" s="257">
        <v>4</v>
      </c>
      <c r="N610" s="257">
        <f t="shared" si="329"/>
        <v>310</v>
      </c>
    </row>
    <row r="611" spans="1:14" s="45" customFormat="1" ht="18" customHeight="1" x14ac:dyDescent="0.2">
      <c r="A611" s="259" t="s">
        <v>99</v>
      </c>
      <c r="B611" s="271">
        <v>801</v>
      </c>
      <c r="C611" s="271" t="s">
        <v>312</v>
      </c>
      <c r="D611" s="252" t="s">
        <v>196</v>
      </c>
      <c r="E611" s="260" t="s">
        <v>871</v>
      </c>
      <c r="F611" s="252" t="s">
        <v>100</v>
      </c>
      <c r="G611" s="256"/>
      <c r="H611" s="257">
        <v>10</v>
      </c>
      <c r="I611" s="257">
        <v>0</v>
      </c>
      <c r="J611" s="257">
        <f>H611+I611</f>
        <v>10</v>
      </c>
      <c r="K611" s="257">
        <v>0</v>
      </c>
      <c r="L611" s="257">
        <f t="shared" si="328"/>
        <v>10</v>
      </c>
      <c r="M611" s="257">
        <v>0</v>
      </c>
      <c r="N611" s="257">
        <f t="shared" si="329"/>
        <v>10</v>
      </c>
    </row>
    <row r="612" spans="1:14" s="45" customFormat="1" ht="20.25" customHeight="1" x14ac:dyDescent="0.2">
      <c r="A612" s="259" t="s">
        <v>93</v>
      </c>
      <c r="B612" s="271">
        <v>801</v>
      </c>
      <c r="C612" s="271" t="s">
        <v>312</v>
      </c>
      <c r="D612" s="252" t="s">
        <v>196</v>
      </c>
      <c r="E612" s="260" t="s">
        <v>871</v>
      </c>
      <c r="F612" s="252" t="s">
        <v>94</v>
      </c>
      <c r="G612" s="256"/>
      <c r="H612" s="257">
        <v>15</v>
      </c>
      <c r="I612" s="257">
        <v>0</v>
      </c>
      <c r="J612" s="257">
        <f>H612+I612</f>
        <v>15</v>
      </c>
      <c r="K612" s="257">
        <v>0</v>
      </c>
      <c r="L612" s="257">
        <v>33</v>
      </c>
      <c r="M612" s="257">
        <f>-16+21.7</f>
        <v>5.6999999999999993</v>
      </c>
      <c r="N612" s="257">
        <f t="shared" si="329"/>
        <v>38.700000000000003</v>
      </c>
    </row>
    <row r="613" spans="1:14" s="34" customFormat="1" ht="15.75" customHeight="1" x14ac:dyDescent="0.2">
      <c r="A613" s="398" t="s">
        <v>197</v>
      </c>
      <c r="B613" s="249">
        <v>801</v>
      </c>
      <c r="C613" s="249" t="s">
        <v>190</v>
      </c>
      <c r="D613" s="250" t="s">
        <v>198</v>
      </c>
      <c r="E613" s="365"/>
      <c r="F613" s="250"/>
      <c r="G613" s="264"/>
      <c r="H613" s="275">
        <f>H614</f>
        <v>8.8000000000000007</v>
      </c>
      <c r="I613" s="275">
        <f t="shared" ref="I613:N614" si="330">I614</f>
        <v>0</v>
      </c>
      <c r="J613" s="275">
        <f t="shared" si="330"/>
        <v>8.8049999999999997</v>
      </c>
      <c r="K613" s="275">
        <f t="shared" si="330"/>
        <v>0</v>
      </c>
      <c r="L613" s="275">
        <f t="shared" si="330"/>
        <v>0</v>
      </c>
      <c r="M613" s="275">
        <f>M614</f>
        <v>90.8</v>
      </c>
      <c r="N613" s="275">
        <f t="shared" si="330"/>
        <v>90.8</v>
      </c>
    </row>
    <row r="614" spans="1:14" s="45" customFormat="1" ht="39" customHeight="1" x14ac:dyDescent="0.2">
      <c r="A614" s="259" t="s">
        <v>843</v>
      </c>
      <c r="B614" s="271">
        <v>801</v>
      </c>
      <c r="C614" s="271" t="s">
        <v>312</v>
      </c>
      <c r="D614" s="252" t="s">
        <v>198</v>
      </c>
      <c r="E614" s="260" t="s">
        <v>844</v>
      </c>
      <c r="F614" s="252"/>
      <c r="G614" s="256"/>
      <c r="H614" s="257">
        <f>H615</f>
        <v>8.8000000000000007</v>
      </c>
      <c r="I614" s="257">
        <f t="shared" si="330"/>
        <v>0</v>
      </c>
      <c r="J614" s="257">
        <f t="shared" si="330"/>
        <v>8.8049999999999997</v>
      </c>
      <c r="K614" s="257">
        <f t="shared" si="330"/>
        <v>0</v>
      </c>
      <c r="L614" s="257">
        <f t="shared" si="330"/>
        <v>0</v>
      </c>
      <c r="M614" s="257">
        <f>M615</f>
        <v>90.8</v>
      </c>
      <c r="N614" s="257">
        <f t="shared" si="330"/>
        <v>90.8</v>
      </c>
    </row>
    <row r="615" spans="1:14" s="45" customFormat="1" ht="24" customHeight="1" x14ac:dyDescent="0.2">
      <c r="A615" s="259" t="s">
        <v>93</v>
      </c>
      <c r="B615" s="271">
        <v>801</v>
      </c>
      <c r="C615" s="271" t="s">
        <v>312</v>
      </c>
      <c r="D615" s="252" t="s">
        <v>198</v>
      </c>
      <c r="E615" s="260" t="s">
        <v>844</v>
      </c>
      <c r="F615" s="252" t="s">
        <v>94</v>
      </c>
      <c r="G615" s="256"/>
      <c r="H615" s="257">
        <v>8.8000000000000007</v>
      </c>
      <c r="I615" s="278">
        <v>0</v>
      </c>
      <c r="J615" s="279">
        <v>8.8049999999999997</v>
      </c>
      <c r="K615" s="278">
        <v>0</v>
      </c>
      <c r="L615" s="279">
        <v>0</v>
      </c>
      <c r="M615" s="279">
        <v>90.8</v>
      </c>
      <c r="N615" s="279">
        <f>L615+M615</f>
        <v>90.8</v>
      </c>
    </row>
    <row r="616" spans="1:14" s="34" customFormat="1" ht="24" customHeight="1" x14ac:dyDescent="0.2">
      <c r="A616" s="398" t="s">
        <v>201</v>
      </c>
      <c r="B616" s="249">
        <v>801</v>
      </c>
      <c r="C616" s="249" t="s">
        <v>312</v>
      </c>
      <c r="D616" s="250" t="s">
        <v>202</v>
      </c>
      <c r="E616" s="365"/>
      <c r="F616" s="250"/>
      <c r="G616" s="264"/>
      <c r="H616" s="275">
        <f t="shared" ref="H616:N616" si="331">H617</f>
        <v>175.25</v>
      </c>
      <c r="I616" s="264">
        <f t="shared" si="331"/>
        <v>-83.87</v>
      </c>
      <c r="J616" s="275">
        <f t="shared" si="331"/>
        <v>91.38</v>
      </c>
      <c r="K616" s="264">
        <f t="shared" si="331"/>
        <v>0</v>
      </c>
      <c r="L616" s="275">
        <f t="shared" si="331"/>
        <v>0</v>
      </c>
      <c r="M616" s="275">
        <f t="shared" si="331"/>
        <v>1058.0999999999999</v>
      </c>
      <c r="N616" s="275">
        <f t="shared" si="331"/>
        <v>1058.0999999999999</v>
      </c>
    </row>
    <row r="617" spans="1:14" s="45" customFormat="1" ht="29.25" customHeight="1" x14ac:dyDescent="0.2">
      <c r="A617" s="259" t="s">
        <v>452</v>
      </c>
      <c r="B617" s="271">
        <v>801</v>
      </c>
      <c r="C617" s="271" t="s">
        <v>312</v>
      </c>
      <c r="D617" s="252" t="s">
        <v>202</v>
      </c>
      <c r="E617" s="260" t="s">
        <v>867</v>
      </c>
      <c r="F617" s="252"/>
      <c r="G617" s="256"/>
      <c r="H617" s="257">
        <f>H618</f>
        <v>175.25</v>
      </c>
      <c r="I617" s="258">
        <f>I618</f>
        <v>-83.87</v>
      </c>
      <c r="J617" s="257">
        <f>H617+I617</f>
        <v>91.38</v>
      </c>
      <c r="K617" s="258">
        <f>K618</f>
        <v>0</v>
      </c>
      <c r="L617" s="257">
        <f>L618</f>
        <v>0</v>
      </c>
      <c r="M617" s="257">
        <f>M618</f>
        <v>1058.0999999999999</v>
      </c>
      <c r="N617" s="257">
        <f>N618</f>
        <v>1058.0999999999999</v>
      </c>
    </row>
    <row r="618" spans="1:14" s="45" customFormat="1" ht="24" customHeight="1" x14ac:dyDescent="0.2">
      <c r="A618" s="259" t="s">
        <v>93</v>
      </c>
      <c r="B618" s="271">
        <v>801</v>
      </c>
      <c r="C618" s="271" t="s">
        <v>312</v>
      </c>
      <c r="D618" s="252" t="s">
        <v>202</v>
      </c>
      <c r="E618" s="260" t="s">
        <v>867</v>
      </c>
      <c r="F618" s="252" t="s">
        <v>94</v>
      </c>
      <c r="G618" s="256"/>
      <c r="H618" s="257">
        <v>175.25</v>
      </c>
      <c r="I618" s="258">
        <v>-83.87</v>
      </c>
      <c r="J618" s="257">
        <f>H618+I618</f>
        <v>91.38</v>
      </c>
      <c r="K618" s="258">
        <v>0</v>
      </c>
      <c r="L618" s="257">
        <v>0</v>
      </c>
      <c r="M618" s="257">
        <v>1058.0999999999999</v>
      </c>
      <c r="N618" s="257">
        <f>L618+M618</f>
        <v>1058.0999999999999</v>
      </c>
    </row>
    <row r="619" spans="1:14" s="19" customFormat="1" ht="15.75" customHeight="1" x14ac:dyDescent="0.2">
      <c r="A619" s="398" t="s">
        <v>203</v>
      </c>
      <c r="B619" s="250" t="s">
        <v>146</v>
      </c>
      <c r="C619" s="250" t="s">
        <v>190</v>
      </c>
      <c r="D619" s="250" t="s">
        <v>204</v>
      </c>
      <c r="E619" s="250"/>
      <c r="F619" s="250"/>
      <c r="G619" s="275" t="e">
        <f>#REF!+G629</f>
        <v>#REF!</v>
      </c>
      <c r="H619" s="275">
        <f t="shared" ref="H619:K619" si="332">H629</f>
        <v>3000</v>
      </c>
      <c r="I619" s="275">
        <f t="shared" si="332"/>
        <v>0</v>
      </c>
      <c r="J619" s="275">
        <f t="shared" si="332"/>
        <v>3000</v>
      </c>
      <c r="K619" s="275">
        <f t="shared" si="332"/>
        <v>-887.51</v>
      </c>
      <c r="L619" s="275">
        <f>L629+L630</f>
        <v>2000</v>
      </c>
      <c r="M619" s="275">
        <f t="shared" ref="M619:N619" si="333">M629+M630</f>
        <v>650</v>
      </c>
      <c r="N619" s="275">
        <f t="shared" si="333"/>
        <v>2650</v>
      </c>
    </row>
    <row r="620" spans="1:14" ht="15" hidden="1" x14ac:dyDescent="0.2">
      <c r="A620" s="259" t="s">
        <v>203</v>
      </c>
      <c r="B620" s="252" t="s">
        <v>146</v>
      </c>
      <c r="C620" s="252" t="s">
        <v>190</v>
      </c>
      <c r="D620" s="252" t="s">
        <v>204</v>
      </c>
      <c r="E620" s="252" t="s">
        <v>349</v>
      </c>
      <c r="F620" s="252"/>
      <c r="G620" s="256"/>
      <c r="H620" s="256"/>
      <c r="I620" s="257">
        <f t="shared" ref="I620:N622" si="334">I621</f>
        <v>1</v>
      </c>
      <c r="J620" s="257">
        <f t="shared" si="334"/>
        <v>1</v>
      </c>
      <c r="K620" s="257">
        <f t="shared" si="334"/>
        <v>1</v>
      </c>
      <c r="L620" s="257">
        <f t="shared" si="334"/>
        <v>1</v>
      </c>
      <c r="M620" s="257">
        <f t="shared" si="334"/>
        <v>2</v>
      </c>
      <c r="N620" s="257">
        <f t="shared" si="334"/>
        <v>3</v>
      </c>
    </row>
    <row r="621" spans="1:14" ht="15" hidden="1" x14ac:dyDescent="0.2">
      <c r="A621" s="259" t="s">
        <v>350</v>
      </c>
      <c r="B621" s="252" t="s">
        <v>146</v>
      </c>
      <c r="C621" s="252" t="s">
        <v>190</v>
      </c>
      <c r="D621" s="252" t="s">
        <v>204</v>
      </c>
      <c r="E621" s="252" t="s">
        <v>351</v>
      </c>
      <c r="F621" s="252"/>
      <c r="G621" s="256"/>
      <c r="H621" s="256"/>
      <c r="I621" s="257">
        <f t="shared" si="334"/>
        <v>1</v>
      </c>
      <c r="J621" s="257">
        <f t="shared" si="334"/>
        <v>1</v>
      </c>
      <c r="K621" s="257">
        <f t="shared" si="334"/>
        <v>1</v>
      </c>
      <c r="L621" s="257">
        <f t="shared" si="334"/>
        <v>1</v>
      </c>
      <c r="M621" s="257">
        <f t="shared" si="334"/>
        <v>2</v>
      </c>
      <c r="N621" s="257">
        <f t="shared" si="334"/>
        <v>3</v>
      </c>
    </row>
    <row r="622" spans="1:14" ht="32.25" hidden="1" customHeight="1" x14ac:dyDescent="0.2">
      <c r="A622" s="259" t="s">
        <v>317</v>
      </c>
      <c r="B622" s="252" t="s">
        <v>146</v>
      </c>
      <c r="C622" s="252" t="s">
        <v>190</v>
      </c>
      <c r="D622" s="252" t="s">
        <v>204</v>
      </c>
      <c r="E622" s="252" t="s">
        <v>354</v>
      </c>
      <c r="F622" s="252"/>
      <c r="G622" s="256"/>
      <c r="H622" s="256"/>
      <c r="I622" s="257">
        <f t="shared" si="334"/>
        <v>1</v>
      </c>
      <c r="J622" s="257">
        <f t="shared" si="334"/>
        <v>1</v>
      </c>
      <c r="K622" s="257">
        <f t="shared" si="334"/>
        <v>1</v>
      </c>
      <c r="L622" s="257">
        <f t="shared" si="334"/>
        <v>1</v>
      </c>
      <c r="M622" s="257">
        <f t="shared" si="334"/>
        <v>2</v>
      </c>
      <c r="N622" s="257">
        <f t="shared" si="334"/>
        <v>3</v>
      </c>
    </row>
    <row r="623" spans="1:14" ht="15" hidden="1" x14ac:dyDescent="0.2">
      <c r="A623" s="259" t="s">
        <v>318</v>
      </c>
      <c r="B623" s="252" t="s">
        <v>146</v>
      </c>
      <c r="C623" s="252" t="s">
        <v>353</v>
      </c>
      <c r="D623" s="252" t="s">
        <v>204</v>
      </c>
      <c r="E623" s="252" t="s">
        <v>354</v>
      </c>
      <c r="F623" s="252" t="s">
        <v>319</v>
      </c>
      <c r="G623" s="256"/>
      <c r="H623" s="256"/>
      <c r="I623" s="257">
        <v>1</v>
      </c>
      <c r="J623" s="257">
        <v>1</v>
      </c>
      <c r="K623" s="257">
        <v>1</v>
      </c>
      <c r="L623" s="257">
        <v>1</v>
      </c>
      <c r="M623" s="257">
        <v>2</v>
      </c>
      <c r="N623" s="257">
        <v>3</v>
      </c>
    </row>
    <row r="624" spans="1:14" s="30" customFormat="1" ht="15" hidden="1" x14ac:dyDescent="0.2">
      <c r="A624" s="273" t="s">
        <v>404</v>
      </c>
      <c r="B624" s="372" t="s">
        <v>146</v>
      </c>
      <c r="C624" s="372" t="s">
        <v>190</v>
      </c>
      <c r="D624" s="372">
        <v>11</v>
      </c>
      <c r="E624" s="372" t="s">
        <v>62</v>
      </c>
      <c r="F624" s="372"/>
      <c r="G624" s="373"/>
      <c r="H624" s="373"/>
      <c r="I624" s="280">
        <f>I627+I625</f>
        <v>-1900</v>
      </c>
      <c r="J624" s="280">
        <f>J627+J625</f>
        <v>-1900</v>
      </c>
      <c r="K624" s="280">
        <f>K627+K625</f>
        <v>-1900</v>
      </c>
      <c r="L624" s="280">
        <f>L627+L625</f>
        <v>-1900</v>
      </c>
      <c r="M624" s="280">
        <f t="shared" ref="M624:N624" si="335">M627+M625</f>
        <v>-3800</v>
      </c>
      <c r="N624" s="280">
        <f t="shared" si="335"/>
        <v>-3800</v>
      </c>
    </row>
    <row r="625" spans="1:14" s="30" customFormat="1" ht="28.5" hidden="1" customHeight="1" x14ac:dyDescent="0.2">
      <c r="A625" s="259" t="s">
        <v>1000</v>
      </c>
      <c r="B625" s="271">
        <v>801</v>
      </c>
      <c r="C625" s="252" t="s">
        <v>190</v>
      </c>
      <c r="D625" s="252" t="s">
        <v>204</v>
      </c>
      <c r="E625" s="252" t="s">
        <v>410</v>
      </c>
      <c r="F625" s="252"/>
      <c r="G625" s="373"/>
      <c r="H625" s="373"/>
      <c r="I625" s="280">
        <f>I626</f>
        <v>-1000</v>
      </c>
      <c r="J625" s="280">
        <f>J626</f>
        <v>-1000</v>
      </c>
      <c r="K625" s="280">
        <f>K626</f>
        <v>-1000</v>
      </c>
      <c r="L625" s="280">
        <f>L626</f>
        <v>-1000</v>
      </c>
      <c r="M625" s="280">
        <f t="shared" ref="M625:N625" si="336">M626</f>
        <v>-2000</v>
      </c>
      <c r="N625" s="280">
        <f t="shared" si="336"/>
        <v>-2000</v>
      </c>
    </row>
    <row r="626" spans="1:14" s="30" customFormat="1" ht="15.75" hidden="1" customHeight="1" x14ac:dyDescent="0.2">
      <c r="A626" s="259" t="s">
        <v>93</v>
      </c>
      <c r="B626" s="271">
        <v>801</v>
      </c>
      <c r="C626" s="372" t="s">
        <v>190</v>
      </c>
      <c r="D626" s="372" t="s">
        <v>204</v>
      </c>
      <c r="E626" s="252" t="s">
        <v>410</v>
      </c>
      <c r="F626" s="252" t="s">
        <v>94</v>
      </c>
      <c r="G626" s="373"/>
      <c r="H626" s="373"/>
      <c r="I626" s="280">
        <v>-1000</v>
      </c>
      <c r="J626" s="280">
        <f>G626+I626</f>
        <v>-1000</v>
      </c>
      <c r="K626" s="280">
        <v>-1000</v>
      </c>
      <c r="L626" s="280">
        <f>H626+J626</f>
        <v>-1000</v>
      </c>
      <c r="M626" s="280">
        <f t="shared" ref="M626:N626" si="337">I626+K626</f>
        <v>-2000</v>
      </c>
      <c r="N626" s="280">
        <f t="shared" si="337"/>
        <v>-2000</v>
      </c>
    </row>
    <row r="627" spans="1:14" ht="30" hidden="1" x14ac:dyDescent="0.2">
      <c r="A627" s="259" t="s">
        <v>1001</v>
      </c>
      <c r="B627" s="252" t="s">
        <v>146</v>
      </c>
      <c r="C627" s="252" t="s">
        <v>190</v>
      </c>
      <c r="D627" s="252" t="s">
        <v>204</v>
      </c>
      <c r="E627" s="252" t="s">
        <v>432</v>
      </c>
      <c r="F627" s="252"/>
      <c r="G627" s="256"/>
      <c r="H627" s="256"/>
      <c r="I627" s="257">
        <f>I628</f>
        <v>-900</v>
      </c>
      <c r="J627" s="257">
        <f>J628</f>
        <v>-900</v>
      </c>
      <c r="K627" s="257">
        <f>K628</f>
        <v>-900</v>
      </c>
      <c r="L627" s="257">
        <f>L628</f>
        <v>-900</v>
      </c>
      <c r="M627" s="257">
        <f t="shared" ref="M627:N627" si="338">M628</f>
        <v>-1800</v>
      </c>
      <c r="N627" s="257">
        <f t="shared" si="338"/>
        <v>-1800</v>
      </c>
    </row>
    <row r="628" spans="1:14" ht="15" hidden="1" x14ac:dyDescent="0.2">
      <c r="A628" s="259" t="s">
        <v>318</v>
      </c>
      <c r="B628" s="252" t="s">
        <v>146</v>
      </c>
      <c r="C628" s="252" t="s">
        <v>353</v>
      </c>
      <c r="D628" s="252" t="s">
        <v>204</v>
      </c>
      <c r="E628" s="252" t="s">
        <v>432</v>
      </c>
      <c r="F628" s="252" t="s">
        <v>319</v>
      </c>
      <c r="G628" s="256"/>
      <c r="H628" s="256"/>
      <c r="I628" s="257">
        <v>-900</v>
      </c>
      <c r="J628" s="257">
        <f>G628+I628</f>
        <v>-900</v>
      </c>
      <c r="K628" s="257">
        <v>-900</v>
      </c>
      <c r="L628" s="257">
        <f>H628+J628</f>
        <v>-900</v>
      </c>
      <c r="M628" s="257">
        <f t="shared" ref="M628:N628" si="339">I628+K628</f>
        <v>-1800</v>
      </c>
      <c r="N628" s="257">
        <f t="shared" si="339"/>
        <v>-1800</v>
      </c>
    </row>
    <row r="629" spans="1:14" ht="30" x14ac:dyDescent="0.2">
      <c r="A629" s="259" t="s">
        <v>466</v>
      </c>
      <c r="B629" s="252" t="s">
        <v>146</v>
      </c>
      <c r="C629" s="252" t="s">
        <v>353</v>
      </c>
      <c r="D629" s="252" t="s">
        <v>204</v>
      </c>
      <c r="E629" s="252" t="s">
        <v>874</v>
      </c>
      <c r="F629" s="252" t="s">
        <v>319</v>
      </c>
      <c r="G629" s="256"/>
      <c r="H629" s="257">
        <f>H630</f>
        <v>3000</v>
      </c>
      <c r="I629" s="257">
        <f>I630</f>
        <v>0</v>
      </c>
      <c r="J629" s="257">
        <f>H629+I629</f>
        <v>3000</v>
      </c>
      <c r="K629" s="257">
        <f>K630</f>
        <v>-887.51</v>
      </c>
      <c r="L629" s="257">
        <v>0</v>
      </c>
      <c r="M629" s="257">
        <v>650</v>
      </c>
      <c r="N629" s="257">
        <f>L629+M629</f>
        <v>650</v>
      </c>
    </row>
    <row r="630" spans="1:14" ht="15" x14ac:dyDescent="0.2">
      <c r="A630" s="259" t="s">
        <v>352</v>
      </c>
      <c r="B630" s="252" t="s">
        <v>146</v>
      </c>
      <c r="C630" s="252" t="s">
        <v>190</v>
      </c>
      <c r="D630" s="252" t="s">
        <v>204</v>
      </c>
      <c r="E630" s="252" t="s">
        <v>875</v>
      </c>
      <c r="F630" s="252" t="s">
        <v>319</v>
      </c>
      <c r="G630" s="256"/>
      <c r="H630" s="257">
        <v>3000</v>
      </c>
      <c r="I630" s="257">
        <v>0</v>
      </c>
      <c r="J630" s="257">
        <f>H630+I630</f>
        <v>3000</v>
      </c>
      <c r="K630" s="257">
        <v>-887.51</v>
      </c>
      <c r="L630" s="257">
        <v>2000</v>
      </c>
      <c r="M630" s="257">
        <v>0</v>
      </c>
      <c r="N630" s="257">
        <f>L630+M630</f>
        <v>2000</v>
      </c>
    </row>
    <row r="631" spans="1:14" s="19" customFormat="1" ht="14.25" x14ac:dyDescent="0.2">
      <c r="A631" s="398" t="s">
        <v>206</v>
      </c>
      <c r="B631" s="249">
        <v>801</v>
      </c>
      <c r="C631" s="250" t="s">
        <v>190</v>
      </c>
      <c r="D631" s="250" t="s">
        <v>207</v>
      </c>
      <c r="E631" s="250"/>
      <c r="F631" s="250"/>
      <c r="G631" s="261">
        <f>G632+G636+G639+G653+G714+G728+G732+G735+G751+G760+G762+G726+G723+G730</f>
        <v>0</v>
      </c>
      <c r="H631" s="261">
        <f t="shared" ref="H631:N631" si="340">H723+H726+H728+H730+H732+H735+H743+H751+H760+H762</f>
        <v>11079.500000000002</v>
      </c>
      <c r="I631" s="261">
        <f t="shared" si="340"/>
        <v>1484.8999999999996</v>
      </c>
      <c r="J631" s="261">
        <f t="shared" si="340"/>
        <v>12564.400000000001</v>
      </c>
      <c r="K631" s="261">
        <f t="shared" si="340"/>
        <v>473.61</v>
      </c>
      <c r="L631" s="261">
        <f t="shared" si="340"/>
        <v>12212.2</v>
      </c>
      <c r="M631" s="261">
        <f t="shared" si="340"/>
        <v>-287.8</v>
      </c>
      <c r="N631" s="261">
        <f t="shared" si="340"/>
        <v>11924.4</v>
      </c>
    </row>
    <row r="632" spans="1:14" ht="16.5" hidden="1" customHeight="1" x14ac:dyDescent="0.2">
      <c r="A632" s="259" t="s">
        <v>970</v>
      </c>
      <c r="B632" s="271">
        <v>801</v>
      </c>
      <c r="C632" s="252" t="s">
        <v>190</v>
      </c>
      <c r="D632" s="252" t="s">
        <v>207</v>
      </c>
      <c r="E632" s="252" t="s">
        <v>468</v>
      </c>
      <c r="F632" s="250"/>
      <c r="G632" s="256"/>
      <c r="H632" s="256"/>
      <c r="I632" s="257">
        <f t="shared" ref="I632:N634" si="341">I633</f>
        <v>-50</v>
      </c>
      <c r="J632" s="257" t="e">
        <f t="shared" si="341"/>
        <v>#REF!</v>
      </c>
      <c r="K632" s="257">
        <f t="shared" si="341"/>
        <v>-50</v>
      </c>
      <c r="L632" s="257" t="e">
        <f t="shared" si="341"/>
        <v>#REF!</v>
      </c>
      <c r="M632" s="257" t="e">
        <f t="shared" si="341"/>
        <v>#REF!</v>
      </c>
      <c r="N632" s="257" t="e">
        <f t="shared" si="341"/>
        <v>#REF!</v>
      </c>
    </row>
    <row r="633" spans="1:14" ht="37.5" hidden="1" customHeight="1" x14ac:dyDescent="0.2">
      <c r="A633" s="259" t="s">
        <v>996</v>
      </c>
      <c r="B633" s="271">
        <v>801</v>
      </c>
      <c r="C633" s="252" t="s">
        <v>190</v>
      </c>
      <c r="D633" s="252" t="s">
        <v>207</v>
      </c>
      <c r="E633" s="271" t="s">
        <v>500</v>
      </c>
      <c r="F633" s="252"/>
      <c r="G633" s="256"/>
      <c r="H633" s="256"/>
      <c r="I633" s="257">
        <f t="shared" si="341"/>
        <v>-50</v>
      </c>
      <c r="J633" s="257" t="e">
        <f t="shared" si="341"/>
        <v>#REF!</v>
      </c>
      <c r="K633" s="257">
        <f t="shared" si="341"/>
        <v>-50</v>
      </c>
      <c r="L633" s="257" t="e">
        <f t="shared" si="341"/>
        <v>#REF!</v>
      </c>
      <c r="M633" s="257" t="e">
        <f t="shared" si="341"/>
        <v>#REF!</v>
      </c>
      <c r="N633" s="257" t="e">
        <f t="shared" si="341"/>
        <v>#REF!</v>
      </c>
    </row>
    <row r="634" spans="1:14" ht="16.5" hidden="1" customHeight="1" x14ac:dyDescent="0.2">
      <c r="A634" s="259" t="s">
        <v>509</v>
      </c>
      <c r="B634" s="271">
        <v>801</v>
      </c>
      <c r="C634" s="252" t="s">
        <v>190</v>
      </c>
      <c r="D634" s="252" t="s">
        <v>207</v>
      </c>
      <c r="E634" s="271" t="s">
        <v>508</v>
      </c>
      <c r="F634" s="252"/>
      <c r="G634" s="256"/>
      <c r="H634" s="256"/>
      <c r="I634" s="257">
        <f>I635</f>
        <v>-50</v>
      </c>
      <c r="J634" s="257" t="e">
        <f t="shared" si="341"/>
        <v>#REF!</v>
      </c>
      <c r="K634" s="257">
        <f>K635</f>
        <v>-50</v>
      </c>
      <c r="L634" s="257" t="e">
        <f t="shared" si="341"/>
        <v>#REF!</v>
      </c>
      <c r="M634" s="257" t="e">
        <f t="shared" si="341"/>
        <v>#REF!</v>
      </c>
      <c r="N634" s="257" t="e">
        <f t="shared" si="341"/>
        <v>#REF!</v>
      </c>
    </row>
    <row r="635" spans="1:14" ht="18.75" hidden="1" customHeight="1" x14ac:dyDescent="0.2">
      <c r="A635" s="259" t="s">
        <v>93</v>
      </c>
      <c r="B635" s="271">
        <v>801</v>
      </c>
      <c r="C635" s="252" t="s">
        <v>190</v>
      </c>
      <c r="D635" s="252" t="s">
        <v>207</v>
      </c>
      <c r="E635" s="271" t="s">
        <v>508</v>
      </c>
      <c r="F635" s="252" t="s">
        <v>94</v>
      </c>
      <c r="G635" s="256"/>
      <c r="H635" s="256"/>
      <c r="I635" s="257">
        <v>-50</v>
      </c>
      <c r="J635" s="257" t="e">
        <f>#REF!+I635</f>
        <v>#REF!</v>
      </c>
      <c r="K635" s="257">
        <v>-50</v>
      </c>
      <c r="L635" s="257" t="e">
        <f>#REF!+J635</f>
        <v>#REF!</v>
      </c>
      <c r="M635" s="257" t="e">
        <f>#REF!+K635</f>
        <v>#REF!</v>
      </c>
      <c r="N635" s="257" t="e">
        <f>#REF!+L635</f>
        <v>#REF!</v>
      </c>
    </row>
    <row r="636" spans="1:14" ht="41.25" hidden="1" customHeight="1" x14ac:dyDescent="0.2">
      <c r="A636" s="259" t="s">
        <v>981</v>
      </c>
      <c r="B636" s="271">
        <v>801</v>
      </c>
      <c r="C636" s="252" t="s">
        <v>190</v>
      </c>
      <c r="D636" s="252" t="s">
        <v>207</v>
      </c>
      <c r="E636" s="252" t="s">
        <v>488</v>
      </c>
      <c r="F636" s="252"/>
      <c r="G636" s="256"/>
      <c r="H636" s="256"/>
      <c r="I636" s="257">
        <f t="shared" ref="I636:N637" si="342">I637</f>
        <v>-50</v>
      </c>
      <c r="J636" s="257" t="e">
        <f t="shared" si="342"/>
        <v>#REF!</v>
      </c>
      <c r="K636" s="257">
        <f t="shared" si="342"/>
        <v>-50</v>
      </c>
      <c r="L636" s="257" t="e">
        <f t="shared" si="342"/>
        <v>#REF!</v>
      </c>
      <c r="M636" s="257" t="e">
        <f t="shared" si="342"/>
        <v>#REF!</v>
      </c>
      <c r="N636" s="257" t="e">
        <f t="shared" si="342"/>
        <v>#REF!</v>
      </c>
    </row>
    <row r="637" spans="1:14" ht="22.5" hidden="1" customHeight="1" x14ac:dyDescent="0.2">
      <c r="A637" s="259" t="s">
        <v>510</v>
      </c>
      <c r="B637" s="271">
        <v>801</v>
      </c>
      <c r="C637" s="252" t="s">
        <v>190</v>
      </c>
      <c r="D637" s="252" t="s">
        <v>207</v>
      </c>
      <c r="E637" s="252" t="s">
        <v>526</v>
      </c>
      <c r="F637" s="252"/>
      <c r="G637" s="256"/>
      <c r="H637" s="256"/>
      <c r="I637" s="257">
        <f t="shared" si="342"/>
        <v>-50</v>
      </c>
      <c r="J637" s="257" t="e">
        <f t="shared" si="342"/>
        <v>#REF!</v>
      </c>
      <c r="K637" s="257">
        <f t="shared" si="342"/>
        <v>-50</v>
      </c>
      <c r="L637" s="257" t="e">
        <f t="shared" si="342"/>
        <v>#REF!</v>
      </c>
      <c r="M637" s="257" t="e">
        <f t="shared" si="342"/>
        <v>#REF!</v>
      </c>
      <c r="N637" s="257" t="e">
        <f t="shared" si="342"/>
        <v>#REF!</v>
      </c>
    </row>
    <row r="638" spans="1:14" ht="15" hidden="1" customHeight="1" x14ac:dyDescent="0.2">
      <c r="A638" s="259" t="s">
        <v>93</v>
      </c>
      <c r="B638" s="271">
        <v>801</v>
      </c>
      <c r="C638" s="252" t="s">
        <v>190</v>
      </c>
      <c r="D638" s="252" t="s">
        <v>207</v>
      </c>
      <c r="E638" s="252" t="s">
        <v>527</v>
      </c>
      <c r="F638" s="252" t="s">
        <v>94</v>
      </c>
      <c r="G638" s="256"/>
      <c r="H638" s="256"/>
      <c r="I638" s="257">
        <v>-50</v>
      </c>
      <c r="J638" s="257" t="e">
        <f>#REF!+I638</f>
        <v>#REF!</v>
      </c>
      <c r="K638" s="257">
        <v>-50</v>
      </c>
      <c r="L638" s="257" t="e">
        <f>#REF!+J638</f>
        <v>#REF!</v>
      </c>
      <c r="M638" s="257" t="e">
        <f>#REF!+K638</f>
        <v>#REF!</v>
      </c>
      <c r="N638" s="257" t="e">
        <f>#REF!+L638</f>
        <v>#REF!</v>
      </c>
    </row>
    <row r="639" spans="1:14" ht="39.75" hidden="1" customHeight="1" x14ac:dyDescent="0.2">
      <c r="A639" s="259" t="s">
        <v>382</v>
      </c>
      <c r="B639" s="271">
        <v>801</v>
      </c>
      <c r="C639" s="252" t="s">
        <v>190</v>
      </c>
      <c r="D639" s="252" t="s">
        <v>207</v>
      </c>
      <c r="E639" s="252" t="s">
        <v>384</v>
      </c>
      <c r="F639" s="252"/>
      <c r="G639" s="256"/>
      <c r="H639" s="256"/>
      <c r="I639" s="257">
        <f t="shared" ref="I639:N640" si="343">I640</f>
        <v>-530.1</v>
      </c>
      <c r="J639" s="257" t="e">
        <f t="shared" si="343"/>
        <v>#REF!</v>
      </c>
      <c r="K639" s="257">
        <f t="shared" si="343"/>
        <v>-530.1</v>
      </c>
      <c r="L639" s="257" t="e">
        <f t="shared" si="343"/>
        <v>#REF!</v>
      </c>
      <c r="M639" s="257" t="e">
        <f t="shared" si="343"/>
        <v>#REF!</v>
      </c>
      <c r="N639" s="257" t="e">
        <f t="shared" si="343"/>
        <v>#REF!</v>
      </c>
    </row>
    <row r="640" spans="1:14" ht="28.5" hidden="1" customHeight="1" x14ac:dyDescent="0.2">
      <c r="A640" s="270" t="s">
        <v>383</v>
      </c>
      <c r="B640" s="271">
        <v>801</v>
      </c>
      <c r="C640" s="252" t="s">
        <v>190</v>
      </c>
      <c r="D640" s="252" t="s">
        <v>207</v>
      </c>
      <c r="E640" s="252" t="s">
        <v>734</v>
      </c>
      <c r="F640" s="252"/>
      <c r="G640" s="256"/>
      <c r="H640" s="256"/>
      <c r="I640" s="257">
        <f t="shared" si="343"/>
        <v>-530.1</v>
      </c>
      <c r="J640" s="257" t="e">
        <f t="shared" si="343"/>
        <v>#REF!</v>
      </c>
      <c r="K640" s="257">
        <f t="shared" si="343"/>
        <v>-530.1</v>
      </c>
      <c r="L640" s="257" t="e">
        <f t="shared" si="343"/>
        <v>#REF!</v>
      </c>
      <c r="M640" s="257" t="e">
        <f t="shared" si="343"/>
        <v>#REF!</v>
      </c>
      <c r="N640" s="257" t="e">
        <f t="shared" si="343"/>
        <v>#REF!</v>
      </c>
    </row>
    <row r="641" spans="1:14" ht="15" hidden="1" x14ac:dyDescent="0.2">
      <c r="A641" s="259" t="s">
        <v>95</v>
      </c>
      <c r="B641" s="271">
        <v>801</v>
      </c>
      <c r="C641" s="252" t="s">
        <v>190</v>
      </c>
      <c r="D641" s="252" t="s">
        <v>207</v>
      </c>
      <c r="E641" s="252" t="s">
        <v>734</v>
      </c>
      <c r="F641" s="252" t="s">
        <v>96</v>
      </c>
      <c r="G641" s="256"/>
      <c r="H641" s="256"/>
      <c r="I641" s="257">
        <v>-530.1</v>
      </c>
      <c r="J641" s="257" t="e">
        <f>#REF!+I641</f>
        <v>#REF!</v>
      </c>
      <c r="K641" s="257">
        <v>-530.1</v>
      </c>
      <c r="L641" s="257" t="e">
        <f>#REF!+J641</f>
        <v>#REF!</v>
      </c>
      <c r="M641" s="257" t="e">
        <f>#REF!+K641</f>
        <v>#REF!</v>
      </c>
      <c r="N641" s="257" t="e">
        <f>#REF!+L641</f>
        <v>#REF!</v>
      </c>
    </row>
    <row r="642" spans="1:14" ht="15" hidden="1" x14ac:dyDescent="0.2">
      <c r="A642" s="259" t="s">
        <v>355</v>
      </c>
      <c r="B642" s="271">
        <v>801</v>
      </c>
      <c r="C642" s="252" t="s">
        <v>190</v>
      </c>
      <c r="D642" s="252" t="s">
        <v>207</v>
      </c>
      <c r="E642" s="271" t="s">
        <v>356</v>
      </c>
      <c r="F642" s="252"/>
      <c r="G642" s="256"/>
      <c r="H642" s="256"/>
      <c r="I642" s="257">
        <f>I643</f>
        <v>-7046.4</v>
      </c>
      <c r="J642" s="257" t="e">
        <f>J643</f>
        <v>#REF!</v>
      </c>
      <c r="K642" s="257">
        <f>K643</f>
        <v>-7046.4</v>
      </c>
      <c r="L642" s="257" t="e">
        <f>L643</f>
        <v>#REF!</v>
      </c>
      <c r="M642" s="257">
        <f t="shared" ref="M642:N642" si="344">M643</f>
        <v>-14092.8</v>
      </c>
      <c r="N642" s="257" t="e">
        <f t="shared" si="344"/>
        <v>#REF!</v>
      </c>
    </row>
    <row r="643" spans="1:14" ht="15" hidden="1" x14ac:dyDescent="0.2">
      <c r="A643" s="259" t="s">
        <v>299</v>
      </c>
      <c r="B643" s="271">
        <v>801</v>
      </c>
      <c r="C643" s="252" t="s">
        <v>190</v>
      </c>
      <c r="D643" s="252" t="s">
        <v>207</v>
      </c>
      <c r="E643" s="252" t="s">
        <v>357</v>
      </c>
      <c r="F643" s="252"/>
      <c r="G643" s="256"/>
      <c r="H643" s="256"/>
      <c r="I643" s="257">
        <f>I646</f>
        <v>-7046.4</v>
      </c>
      <c r="J643" s="257" t="e">
        <f>J644+J645+J646+J647+J648+J649+J650+J651+J652</f>
        <v>#REF!</v>
      </c>
      <c r="K643" s="257">
        <f>K646</f>
        <v>-7046.4</v>
      </c>
      <c r="L643" s="257" t="e">
        <f>L644+L645+L646+L647+L648+L649+L650+L651+L652</f>
        <v>#REF!</v>
      </c>
      <c r="M643" s="257">
        <f t="shared" ref="M643:N643" si="345">M644+M645+M646+M647+M648+M649+M650+M651+M652</f>
        <v>-14092.8</v>
      </c>
      <c r="N643" s="257" t="e">
        <f t="shared" si="345"/>
        <v>#REF!</v>
      </c>
    </row>
    <row r="644" spans="1:14" ht="12.75" hidden="1" customHeight="1" x14ac:dyDescent="0.2">
      <c r="A644" s="259" t="s">
        <v>300</v>
      </c>
      <c r="B644" s="271">
        <v>801</v>
      </c>
      <c r="C644" s="252" t="s">
        <v>190</v>
      </c>
      <c r="D644" s="252" t="s">
        <v>207</v>
      </c>
      <c r="E644" s="252" t="s">
        <v>357</v>
      </c>
      <c r="F644" s="252" t="s">
        <v>301</v>
      </c>
      <c r="G644" s="256"/>
      <c r="H644" s="256"/>
      <c r="I644" s="257"/>
      <c r="J644" s="257">
        <f>G644+I644</f>
        <v>0</v>
      </c>
      <c r="K644" s="257"/>
      <c r="L644" s="257">
        <f t="shared" ref="L644:L646" si="346">H644+J644</f>
        <v>0</v>
      </c>
      <c r="M644" s="257">
        <f t="shared" ref="M644:M646" si="347">I644+K644</f>
        <v>0</v>
      </c>
      <c r="N644" s="257">
        <f t="shared" ref="N644:N646" si="348">J644+L644</f>
        <v>0</v>
      </c>
    </row>
    <row r="645" spans="1:14" ht="12.75" hidden="1" customHeight="1" x14ac:dyDescent="0.2">
      <c r="A645" s="259" t="s">
        <v>302</v>
      </c>
      <c r="B645" s="271">
        <v>801</v>
      </c>
      <c r="C645" s="252" t="s">
        <v>190</v>
      </c>
      <c r="D645" s="252" t="s">
        <v>207</v>
      </c>
      <c r="E645" s="271" t="s">
        <v>357</v>
      </c>
      <c r="F645" s="252" t="s">
        <v>303</v>
      </c>
      <c r="G645" s="256"/>
      <c r="H645" s="256"/>
      <c r="I645" s="257"/>
      <c r="J645" s="257">
        <f>G645+I645</f>
        <v>0</v>
      </c>
      <c r="K645" s="257"/>
      <c r="L645" s="257">
        <f t="shared" si="346"/>
        <v>0</v>
      </c>
      <c r="M645" s="257">
        <f t="shared" si="347"/>
        <v>0</v>
      </c>
      <c r="N645" s="257">
        <f t="shared" si="348"/>
        <v>0</v>
      </c>
    </row>
    <row r="646" spans="1:14" ht="15" hidden="1" x14ac:dyDescent="0.2">
      <c r="A646" s="259" t="s">
        <v>95</v>
      </c>
      <c r="B646" s="271">
        <v>801</v>
      </c>
      <c r="C646" s="252" t="s">
        <v>190</v>
      </c>
      <c r="D646" s="252" t="s">
        <v>207</v>
      </c>
      <c r="E646" s="252" t="s">
        <v>357</v>
      </c>
      <c r="F646" s="252" t="s">
        <v>96</v>
      </c>
      <c r="G646" s="256"/>
      <c r="H646" s="256"/>
      <c r="I646" s="257">
        <v>-7046.4</v>
      </c>
      <c r="J646" s="257">
        <f>G646+I646</f>
        <v>-7046.4</v>
      </c>
      <c r="K646" s="257">
        <v>-7046.4</v>
      </c>
      <c r="L646" s="257">
        <f t="shared" si="346"/>
        <v>-7046.4</v>
      </c>
      <c r="M646" s="257">
        <f t="shared" si="347"/>
        <v>-14092.8</v>
      </c>
      <c r="N646" s="257">
        <f t="shared" si="348"/>
        <v>-14092.8</v>
      </c>
    </row>
    <row r="647" spans="1:14" ht="12.75" hidden="1" customHeight="1" x14ac:dyDescent="0.2">
      <c r="A647" s="259" t="s">
        <v>97</v>
      </c>
      <c r="B647" s="271">
        <v>801</v>
      </c>
      <c r="C647" s="252" t="s">
        <v>190</v>
      </c>
      <c r="D647" s="252" t="s">
        <v>207</v>
      </c>
      <c r="E647" s="252" t="s">
        <v>357</v>
      </c>
      <c r="F647" s="252" t="s">
        <v>98</v>
      </c>
      <c r="G647" s="256"/>
      <c r="H647" s="256"/>
      <c r="I647" s="257"/>
      <c r="J647" s="257" t="e">
        <f>#REF!+I647</f>
        <v>#REF!</v>
      </c>
      <c r="K647" s="257"/>
      <c r="L647" s="257" t="e">
        <f t="shared" ref="L647:L652" si="349">F647+J647</f>
        <v>#REF!</v>
      </c>
      <c r="M647" s="257">
        <f t="shared" ref="M647:M652" si="350">G647+K647</f>
        <v>0</v>
      </c>
      <c r="N647" s="257" t="e">
        <f t="shared" ref="N647:N652" si="351">H647+L647</f>
        <v>#REF!</v>
      </c>
    </row>
    <row r="648" spans="1:14" ht="25.5" hidden="1" customHeight="1" x14ac:dyDescent="0.2">
      <c r="A648" s="259" t="s">
        <v>99</v>
      </c>
      <c r="B648" s="271">
        <v>801</v>
      </c>
      <c r="C648" s="252" t="s">
        <v>190</v>
      </c>
      <c r="D648" s="252" t="s">
        <v>207</v>
      </c>
      <c r="E648" s="252" t="s">
        <v>357</v>
      </c>
      <c r="F648" s="252" t="s">
        <v>100</v>
      </c>
      <c r="G648" s="256"/>
      <c r="H648" s="256"/>
      <c r="I648" s="257"/>
      <c r="J648" s="257" t="e">
        <f>#REF!+I648</f>
        <v>#REF!</v>
      </c>
      <c r="K648" s="257"/>
      <c r="L648" s="257" t="e">
        <f t="shared" si="349"/>
        <v>#REF!</v>
      </c>
      <c r="M648" s="257">
        <f t="shared" si="350"/>
        <v>0</v>
      </c>
      <c r="N648" s="257" t="e">
        <f t="shared" si="351"/>
        <v>#REF!</v>
      </c>
    </row>
    <row r="649" spans="1:14" ht="25.5" hidden="1" customHeight="1" x14ac:dyDescent="0.2">
      <c r="A649" s="259" t="s">
        <v>101</v>
      </c>
      <c r="B649" s="271">
        <v>801</v>
      </c>
      <c r="C649" s="252" t="s">
        <v>190</v>
      </c>
      <c r="D649" s="252" t="s">
        <v>207</v>
      </c>
      <c r="E649" s="252" t="s">
        <v>357</v>
      </c>
      <c r="F649" s="252" t="s">
        <v>102</v>
      </c>
      <c r="G649" s="256"/>
      <c r="H649" s="256"/>
      <c r="I649" s="257"/>
      <c r="J649" s="257" t="e">
        <f>#REF!+I649</f>
        <v>#REF!</v>
      </c>
      <c r="K649" s="257"/>
      <c r="L649" s="257" t="e">
        <f t="shared" si="349"/>
        <v>#REF!</v>
      </c>
      <c r="M649" s="257">
        <f t="shared" si="350"/>
        <v>0</v>
      </c>
      <c r="N649" s="257" t="e">
        <f t="shared" si="351"/>
        <v>#REF!</v>
      </c>
    </row>
    <row r="650" spans="1:14" ht="25.5" hidden="1" customHeight="1" x14ac:dyDescent="0.2">
      <c r="A650" s="259" t="s">
        <v>93</v>
      </c>
      <c r="B650" s="271">
        <v>801</v>
      </c>
      <c r="C650" s="252" t="s">
        <v>190</v>
      </c>
      <c r="D650" s="252" t="s">
        <v>207</v>
      </c>
      <c r="E650" s="252" t="s">
        <v>357</v>
      </c>
      <c r="F650" s="252" t="s">
        <v>94</v>
      </c>
      <c r="G650" s="256"/>
      <c r="H650" s="256"/>
      <c r="I650" s="257"/>
      <c r="J650" s="257" t="e">
        <f>#REF!+I650</f>
        <v>#REF!</v>
      </c>
      <c r="K650" s="257"/>
      <c r="L650" s="257" t="e">
        <f t="shared" si="349"/>
        <v>#REF!</v>
      </c>
      <c r="M650" s="257">
        <f t="shared" si="350"/>
        <v>0</v>
      </c>
      <c r="N650" s="257" t="e">
        <f t="shared" si="351"/>
        <v>#REF!</v>
      </c>
    </row>
    <row r="651" spans="1:14" ht="12.75" hidden="1" customHeight="1" x14ac:dyDescent="0.2">
      <c r="A651" s="259" t="s">
        <v>103</v>
      </c>
      <c r="B651" s="271">
        <v>801</v>
      </c>
      <c r="C651" s="252" t="s">
        <v>190</v>
      </c>
      <c r="D651" s="252" t="s">
        <v>207</v>
      </c>
      <c r="E651" s="252" t="s">
        <v>357</v>
      </c>
      <c r="F651" s="252" t="s">
        <v>104</v>
      </c>
      <c r="G651" s="256"/>
      <c r="H651" s="256"/>
      <c r="I651" s="257"/>
      <c r="J651" s="257" t="e">
        <f>#REF!+I651</f>
        <v>#REF!</v>
      </c>
      <c r="K651" s="257"/>
      <c r="L651" s="257" t="e">
        <f t="shared" si="349"/>
        <v>#REF!</v>
      </c>
      <c r="M651" s="257">
        <f t="shared" si="350"/>
        <v>0</v>
      </c>
      <c r="N651" s="257" t="e">
        <f t="shared" si="351"/>
        <v>#REF!</v>
      </c>
    </row>
    <row r="652" spans="1:14" ht="12.75" hidden="1" customHeight="1" x14ac:dyDescent="0.2">
      <c r="A652" s="259" t="s">
        <v>105</v>
      </c>
      <c r="B652" s="271">
        <v>801</v>
      </c>
      <c r="C652" s="252" t="s">
        <v>190</v>
      </c>
      <c r="D652" s="252" t="s">
        <v>207</v>
      </c>
      <c r="E652" s="252" t="s">
        <v>357</v>
      </c>
      <c r="F652" s="252" t="s">
        <v>106</v>
      </c>
      <c r="G652" s="256"/>
      <c r="H652" s="256"/>
      <c r="I652" s="257"/>
      <c r="J652" s="257" t="e">
        <f>#REF!+I652</f>
        <v>#REF!</v>
      </c>
      <c r="K652" s="257"/>
      <c r="L652" s="257" t="e">
        <f t="shared" si="349"/>
        <v>#REF!</v>
      </c>
      <c r="M652" s="257">
        <f t="shared" si="350"/>
        <v>0</v>
      </c>
      <c r="N652" s="257" t="e">
        <f t="shared" si="351"/>
        <v>#REF!</v>
      </c>
    </row>
    <row r="653" spans="1:14" ht="55.5" hidden="1" customHeight="1" x14ac:dyDescent="0.2">
      <c r="A653" s="259" t="s">
        <v>379</v>
      </c>
      <c r="B653" s="271">
        <v>801</v>
      </c>
      <c r="C653" s="252" t="s">
        <v>190</v>
      </c>
      <c r="D653" s="252" t="s">
        <v>207</v>
      </c>
      <c r="E653" s="252" t="s">
        <v>380</v>
      </c>
      <c r="F653" s="252"/>
      <c r="G653" s="256"/>
      <c r="H653" s="256"/>
      <c r="I653" s="257">
        <f>I654+I656</f>
        <v>-251.9</v>
      </c>
      <c r="J653" s="257" t="e">
        <f>J654+J656</f>
        <v>#REF!</v>
      </c>
      <c r="K653" s="257">
        <f>K654+K656</f>
        <v>-251.9</v>
      </c>
      <c r="L653" s="257" t="e">
        <f>L654+L656</f>
        <v>#REF!</v>
      </c>
      <c r="M653" s="257" t="e">
        <f t="shared" ref="M653:N653" si="352">M654+M656</f>
        <v>#REF!</v>
      </c>
      <c r="N653" s="257" t="e">
        <f t="shared" si="352"/>
        <v>#REF!</v>
      </c>
    </row>
    <row r="654" spans="1:14" ht="60" hidden="1" customHeight="1" x14ac:dyDescent="0.2">
      <c r="A654" s="367" t="s">
        <v>385</v>
      </c>
      <c r="B654" s="271">
        <v>801</v>
      </c>
      <c r="C654" s="252" t="s">
        <v>190</v>
      </c>
      <c r="D654" s="252" t="s">
        <v>207</v>
      </c>
      <c r="E654" s="252" t="s">
        <v>386</v>
      </c>
      <c r="F654" s="252"/>
      <c r="G654" s="256"/>
      <c r="H654" s="256"/>
      <c r="I654" s="257">
        <f>I655</f>
        <v>-41.4</v>
      </c>
      <c r="J654" s="257" t="e">
        <f>J655</f>
        <v>#REF!</v>
      </c>
      <c r="K654" s="257">
        <f>K655</f>
        <v>-41.4</v>
      </c>
      <c r="L654" s="257" t="e">
        <f>L655</f>
        <v>#REF!</v>
      </c>
      <c r="M654" s="257" t="e">
        <f t="shared" ref="M654:N654" si="353">M655</f>
        <v>#REF!</v>
      </c>
      <c r="N654" s="257" t="e">
        <f t="shared" si="353"/>
        <v>#REF!</v>
      </c>
    </row>
    <row r="655" spans="1:14" ht="15" hidden="1" customHeight="1" x14ac:dyDescent="0.2">
      <c r="A655" s="259" t="s">
        <v>93</v>
      </c>
      <c r="B655" s="271">
        <v>801</v>
      </c>
      <c r="C655" s="252" t="s">
        <v>190</v>
      </c>
      <c r="D655" s="252" t="s">
        <v>207</v>
      </c>
      <c r="E655" s="252" t="s">
        <v>386</v>
      </c>
      <c r="F655" s="252" t="s">
        <v>94</v>
      </c>
      <c r="G655" s="256"/>
      <c r="H655" s="256"/>
      <c r="I655" s="257">
        <v>-41.4</v>
      </c>
      <c r="J655" s="257" t="e">
        <f>#REF!+I655</f>
        <v>#REF!</v>
      </c>
      <c r="K655" s="257">
        <v>-41.4</v>
      </c>
      <c r="L655" s="257" t="e">
        <f>#REF!+J655</f>
        <v>#REF!</v>
      </c>
      <c r="M655" s="257" t="e">
        <f>#REF!+K655</f>
        <v>#REF!</v>
      </c>
      <c r="N655" s="257" t="e">
        <f>#REF!+L655</f>
        <v>#REF!</v>
      </c>
    </row>
    <row r="656" spans="1:14" ht="74.25" hidden="1" customHeight="1" x14ac:dyDescent="0.2">
      <c r="A656" s="367" t="s">
        <v>387</v>
      </c>
      <c r="B656" s="271">
        <v>801</v>
      </c>
      <c r="C656" s="252" t="s">
        <v>190</v>
      </c>
      <c r="D656" s="252" t="s">
        <v>207</v>
      </c>
      <c r="E656" s="252" t="s">
        <v>388</v>
      </c>
      <c r="F656" s="252"/>
      <c r="G656" s="256"/>
      <c r="H656" s="256"/>
      <c r="I656" s="257">
        <f>I657</f>
        <v>-210.5</v>
      </c>
      <c r="J656" s="257" t="e">
        <f>J657</f>
        <v>#REF!</v>
      </c>
      <c r="K656" s="257">
        <f>K657</f>
        <v>-210.5</v>
      </c>
      <c r="L656" s="257" t="e">
        <f>L657</f>
        <v>#REF!</v>
      </c>
      <c r="M656" s="257" t="e">
        <f t="shared" ref="M656:N656" si="354">M657</f>
        <v>#REF!</v>
      </c>
      <c r="N656" s="257" t="e">
        <f t="shared" si="354"/>
        <v>#REF!</v>
      </c>
    </row>
    <row r="657" spans="1:14" ht="18.75" hidden="1" customHeight="1" x14ac:dyDescent="0.2">
      <c r="A657" s="259" t="s">
        <v>93</v>
      </c>
      <c r="B657" s="271">
        <v>801</v>
      </c>
      <c r="C657" s="252" t="s">
        <v>190</v>
      </c>
      <c r="D657" s="252" t="s">
        <v>207</v>
      </c>
      <c r="E657" s="252" t="s">
        <v>388</v>
      </c>
      <c r="F657" s="252" t="s">
        <v>94</v>
      </c>
      <c r="G657" s="256"/>
      <c r="H657" s="256"/>
      <c r="I657" s="257">
        <v>-210.5</v>
      </c>
      <c r="J657" s="257" t="e">
        <f>#REF!+I657</f>
        <v>#REF!</v>
      </c>
      <c r="K657" s="257">
        <v>-210.5</v>
      </c>
      <c r="L657" s="257" t="e">
        <f>#REF!+J657</f>
        <v>#REF!</v>
      </c>
      <c r="M657" s="257" t="e">
        <f>#REF!+K657</f>
        <v>#REF!</v>
      </c>
      <c r="N657" s="257" t="e">
        <f>#REF!+L657</f>
        <v>#REF!</v>
      </c>
    </row>
    <row r="658" spans="1:14" ht="43.5" hidden="1" customHeight="1" x14ac:dyDescent="0.2">
      <c r="A658" s="270" t="s">
        <v>389</v>
      </c>
      <c r="B658" s="271">
        <v>801</v>
      </c>
      <c r="C658" s="252" t="s">
        <v>190</v>
      </c>
      <c r="D658" s="252" t="s">
        <v>207</v>
      </c>
      <c r="E658" s="252" t="s">
        <v>391</v>
      </c>
      <c r="F658" s="252"/>
      <c r="G658" s="256"/>
      <c r="H658" s="256"/>
      <c r="I658" s="257">
        <f t="shared" ref="I658:N659" si="355">I659</f>
        <v>-4</v>
      </c>
      <c r="J658" s="257">
        <f t="shared" si="355"/>
        <v>-4</v>
      </c>
      <c r="K658" s="257">
        <f t="shared" si="355"/>
        <v>-4</v>
      </c>
      <c r="L658" s="257">
        <f t="shared" si="355"/>
        <v>-4</v>
      </c>
      <c r="M658" s="257">
        <f t="shared" si="355"/>
        <v>-8</v>
      </c>
      <c r="N658" s="257">
        <f t="shared" si="355"/>
        <v>-8</v>
      </c>
    </row>
    <row r="659" spans="1:14" ht="44.25" hidden="1" customHeight="1" x14ac:dyDescent="0.2">
      <c r="A659" s="270" t="s">
        <v>390</v>
      </c>
      <c r="B659" s="271">
        <v>801</v>
      </c>
      <c r="C659" s="252" t="s">
        <v>190</v>
      </c>
      <c r="D659" s="252" t="s">
        <v>207</v>
      </c>
      <c r="E659" s="252" t="s">
        <v>378</v>
      </c>
      <c r="F659" s="252"/>
      <c r="G659" s="256"/>
      <c r="H659" s="256"/>
      <c r="I659" s="257">
        <f t="shared" si="355"/>
        <v>-4</v>
      </c>
      <c r="J659" s="257">
        <f t="shared" si="355"/>
        <v>-4</v>
      </c>
      <c r="K659" s="257">
        <f t="shared" si="355"/>
        <v>-4</v>
      </c>
      <c r="L659" s="257">
        <f t="shared" si="355"/>
        <v>-4</v>
      </c>
      <c r="M659" s="257">
        <f t="shared" si="355"/>
        <v>-8</v>
      </c>
      <c r="N659" s="257">
        <f t="shared" si="355"/>
        <v>-8</v>
      </c>
    </row>
    <row r="660" spans="1:14" ht="16.5" hidden="1" customHeight="1" x14ac:dyDescent="0.2">
      <c r="A660" s="259" t="s">
        <v>93</v>
      </c>
      <c r="B660" s="271">
        <v>801</v>
      </c>
      <c r="C660" s="252" t="s">
        <v>190</v>
      </c>
      <c r="D660" s="252" t="s">
        <v>207</v>
      </c>
      <c r="E660" s="252" t="s">
        <v>378</v>
      </c>
      <c r="F660" s="252" t="s">
        <v>94</v>
      </c>
      <c r="G660" s="256"/>
      <c r="H660" s="256"/>
      <c r="I660" s="257">
        <v>-4</v>
      </c>
      <c r="J660" s="257">
        <f>G660+I660</f>
        <v>-4</v>
      </c>
      <c r="K660" s="257">
        <v>-4</v>
      </c>
      <c r="L660" s="257">
        <f>H660+J660</f>
        <v>-4</v>
      </c>
      <c r="M660" s="257">
        <f t="shared" ref="M660:N660" si="356">I660+K660</f>
        <v>-8</v>
      </c>
      <c r="N660" s="257">
        <f t="shared" si="356"/>
        <v>-8</v>
      </c>
    </row>
    <row r="661" spans="1:14" ht="20.25" hidden="1" customHeight="1" x14ac:dyDescent="0.2">
      <c r="A661" s="259" t="s">
        <v>248</v>
      </c>
      <c r="B661" s="271">
        <v>801</v>
      </c>
      <c r="C661" s="252" t="s">
        <v>190</v>
      </c>
      <c r="D661" s="252" t="s">
        <v>207</v>
      </c>
      <c r="E661" s="252" t="s">
        <v>82</v>
      </c>
      <c r="F661" s="252"/>
      <c r="G661" s="256"/>
      <c r="H661" s="256"/>
      <c r="I661" s="257"/>
      <c r="J661" s="257">
        <f>J662</f>
        <v>0</v>
      </c>
      <c r="K661" s="257"/>
      <c r="L661" s="257">
        <f>L662</f>
        <v>0</v>
      </c>
      <c r="M661" s="257">
        <f t="shared" ref="M661:N661" si="357">M662</f>
        <v>0</v>
      </c>
      <c r="N661" s="257">
        <f t="shared" si="357"/>
        <v>0</v>
      </c>
    </row>
    <row r="662" spans="1:14" ht="20.25" hidden="1" customHeight="1" x14ac:dyDescent="0.2">
      <c r="A662" s="259" t="s">
        <v>249</v>
      </c>
      <c r="B662" s="271">
        <v>801</v>
      </c>
      <c r="C662" s="252" t="s">
        <v>190</v>
      </c>
      <c r="D662" s="252" t="s">
        <v>207</v>
      </c>
      <c r="E662" s="271" t="s">
        <v>83</v>
      </c>
      <c r="F662" s="252"/>
      <c r="G662" s="256"/>
      <c r="H662" s="256"/>
      <c r="I662" s="257"/>
      <c r="J662" s="257">
        <f>J663+J664</f>
        <v>0</v>
      </c>
      <c r="K662" s="257"/>
      <c r="L662" s="257">
        <f>L663+L664</f>
        <v>0</v>
      </c>
      <c r="M662" s="257">
        <f t="shared" ref="M662:N662" si="358">M663+M664</f>
        <v>0</v>
      </c>
      <c r="N662" s="257">
        <f t="shared" si="358"/>
        <v>0</v>
      </c>
    </row>
    <row r="663" spans="1:14" ht="20.25" hidden="1" customHeight="1" x14ac:dyDescent="0.2">
      <c r="A663" s="259" t="s">
        <v>300</v>
      </c>
      <c r="B663" s="271">
        <v>801</v>
      </c>
      <c r="C663" s="252" t="s">
        <v>190</v>
      </c>
      <c r="D663" s="252" t="s">
        <v>207</v>
      </c>
      <c r="E663" s="271" t="s">
        <v>83</v>
      </c>
      <c r="F663" s="252" t="s">
        <v>301</v>
      </c>
      <c r="G663" s="256"/>
      <c r="H663" s="256"/>
      <c r="I663" s="257"/>
      <c r="J663" s="257">
        <f>G663+I663</f>
        <v>0</v>
      </c>
      <c r="K663" s="257"/>
      <c r="L663" s="257">
        <f>H663+J663</f>
        <v>0</v>
      </c>
      <c r="M663" s="257">
        <f t="shared" ref="M663:N664" si="359">I663+K663</f>
        <v>0</v>
      </c>
      <c r="N663" s="257">
        <f t="shared" si="359"/>
        <v>0</v>
      </c>
    </row>
    <row r="664" spans="1:14" ht="20.25" hidden="1" customHeight="1" x14ac:dyDescent="0.2">
      <c r="A664" s="259" t="s">
        <v>93</v>
      </c>
      <c r="B664" s="271">
        <v>801</v>
      </c>
      <c r="C664" s="252" t="s">
        <v>190</v>
      </c>
      <c r="D664" s="252" t="s">
        <v>207</v>
      </c>
      <c r="E664" s="271" t="s">
        <v>83</v>
      </c>
      <c r="F664" s="252" t="s">
        <v>94</v>
      </c>
      <c r="G664" s="256"/>
      <c r="H664" s="256"/>
      <c r="I664" s="257"/>
      <c r="J664" s="257">
        <f>G664+I664</f>
        <v>0</v>
      </c>
      <c r="K664" s="257"/>
      <c r="L664" s="257">
        <f>H664+J664</f>
        <v>0</v>
      </c>
      <c r="M664" s="257">
        <f t="shared" si="359"/>
        <v>0</v>
      </c>
      <c r="N664" s="257">
        <f t="shared" si="359"/>
        <v>0</v>
      </c>
    </row>
    <row r="665" spans="1:14" ht="15.75" hidden="1" customHeight="1" x14ac:dyDescent="0.2">
      <c r="A665" s="259" t="s">
        <v>404</v>
      </c>
      <c r="B665" s="271">
        <v>801</v>
      </c>
      <c r="C665" s="252" t="s">
        <v>190</v>
      </c>
      <c r="D665" s="252" t="s">
        <v>207</v>
      </c>
      <c r="E665" s="252" t="s">
        <v>62</v>
      </c>
      <c r="F665" s="252"/>
      <c r="G665" s="256"/>
      <c r="H665" s="256"/>
      <c r="I665" s="257">
        <f>I709+I712</f>
        <v>-100</v>
      </c>
      <c r="J665" s="257">
        <f>J709+J712</f>
        <v>-100</v>
      </c>
      <c r="K665" s="257">
        <f>K709+K712</f>
        <v>-100</v>
      </c>
      <c r="L665" s="257">
        <f>L709+L712</f>
        <v>-100</v>
      </c>
      <c r="M665" s="257">
        <f t="shared" ref="M665:N665" si="360">M709+M712</f>
        <v>-200</v>
      </c>
      <c r="N665" s="257">
        <f t="shared" si="360"/>
        <v>-200</v>
      </c>
    </row>
    <row r="666" spans="1:14" ht="15" hidden="1" x14ac:dyDescent="0.2">
      <c r="A666" s="259" t="s">
        <v>539</v>
      </c>
      <c r="B666" s="271">
        <v>801</v>
      </c>
      <c r="C666" s="252" t="s">
        <v>190</v>
      </c>
      <c r="D666" s="252" t="s">
        <v>207</v>
      </c>
      <c r="E666" s="252" t="s">
        <v>172</v>
      </c>
      <c r="F666" s="252"/>
      <c r="G666" s="256"/>
      <c r="H666" s="256"/>
      <c r="I666" s="257"/>
      <c r="J666" s="257">
        <f>J668+J667</f>
        <v>0</v>
      </c>
      <c r="K666" s="257"/>
      <c r="L666" s="257">
        <f>L668+L667</f>
        <v>0</v>
      </c>
      <c r="M666" s="257">
        <f t="shared" ref="M666:N666" si="361">M668+M667</f>
        <v>0</v>
      </c>
      <c r="N666" s="257">
        <f t="shared" si="361"/>
        <v>0</v>
      </c>
    </row>
    <row r="667" spans="1:14" ht="15" hidden="1" x14ac:dyDescent="0.2">
      <c r="A667" s="259" t="s">
        <v>93</v>
      </c>
      <c r="B667" s="271">
        <v>801</v>
      </c>
      <c r="C667" s="252" t="s">
        <v>190</v>
      </c>
      <c r="D667" s="252" t="s">
        <v>207</v>
      </c>
      <c r="E667" s="252" t="s">
        <v>172</v>
      </c>
      <c r="F667" s="252" t="s">
        <v>94</v>
      </c>
      <c r="G667" s="256"/>
      <c r="H667" s="256"/>
      <c r="I667" s="257"/>
      <c r="J667" s="257">
        <f>G667+I667</f>
        <v>0</v>
      </c>
      <c r="K667" s="257"/>
      <c r="L667" s="257">
        <f>H667+J667</f>
        <v>0</v>
      </c>
      <c r="M667" s="257">
        <f t="shared" ref="M667:N668" si="362">I667+K667</f>
        <v>0</v>
      </c>
      <c r="N667" s="257">
        <f t="shared" si="362"/>
        <v>0</v>
      </c>
    </row>
    <row r="668" spans="1:14" ht="12.75" hidden="1" customHeight="1" x14ac:dyDescent="0.2">
      <c r="A668" s="259" t="s">
        <v>539</v>
      </c>
      <c r="B668" s="271">
        <v>801</v>
      </c>
      <c r="C668" s="252" t="s">
        <v>190</v>
      </c>
      <c r="D668" s="252" t="s">
        <v>207</v>
      </c>
      <c r="E668" s="252" t="s">
        <v>172</v>
      </c>
      <c r="F668" s="252" t="s">
        <v>64</v>
      </c>
      <c r="G668" s="256"/>
      <c r="H668" s="256"/>
      <c r="I668" s="257"/>
      <c r="J668" s="257">
        <f>G668+I668</f>
        <v>0</v>
      </c>
      <c r="K668" s="257"/>
      <c r="L668" s="257">
        <f>H668+J668</f>
        <v>0</v>
      </c>
      <c r="M668" s="257">
        <f t="shared" si="362"/>
        <v>0</v>
      </c>
      <c r="N668" s="257">
        <f t="shared" si="362"/>
        <v>0</v>
      </c>
    </row>
    <row r="669" spans="1:14" ht="30" hidden="1" x14ac:dyDescent="0.2">
      <c r="A669" s="259" t="s">
        <v>540</v>
      </c>
      <c r="B669" s="271">
        <v>801</v>
      </c>
      <c r="C669" s="252" t="s">
        <v>190</v>
      </c>
      <c r="D669" s="252" t="s">
        <v>207</v>
      </c>
      <c r="E669" s="252" t="s">
        <v>176</v>
      </c>
      <c r="F669" s="252"/>
      <c r="G669" s="256"/>
      <c r="H669" s="256"/>
      <c r="I669" s="257"/>
      <c r="J669" s="257">
        <f>J671+J670</f>
        <v>0</v>
      </c>
      <c r="K669" s="257"/>
      <c r="L669" s="257">
        <f>L671+L670</f>
        <v>0</v>
      </c>
      <c r="M669" s="257">
        <f t="shared" ref="M669:N669" si="363">M671+M670</f>
        <v>0</v>
      </c>
      <c r="N669" s="257">
        <f t="shared" si="363"/>
        <v>0</v>
      </c>
    </row>
    <row r="670" spans="1:14" ht="15" hidden="1" x14ac:dyDescent="0.2">
      <c r="A670" s="259" t="s">
        <v>93</v>
      </c>
      <c r="B670" s="271">
        <v>801</v>
      </c>
      <c r="C670" s="252" t="s">
        <v>190</v>
      </c>
      <c r="D670" s="252" t="s">
        <v>207</v>
      </c>
      <c r="E670" s="252" t="s">
        <v>176</v>
      </c>
      <c r="F670" s="252" t="s">
        <v>94</v>
      </c>
      <c r="G670" s="256"/>
      <c r="H670" s="256"/>
      <c r="I670" s="257"/>
      <c r="J670" s="257">
        <f>G670+I670</f>
        <v>0</v>
      </c>
      <c r="K670" s="257"/>
      <c r="L670" s="257">
        <f>H670+J670</f>
        <v>0</v>
      </c>
      <c r="M670" s="257">
        <f t="shared" ref="M670:N671" si="364">I670+K670</f>
        <v>0</v>
      </c>
      <c r="N670" s="257">
        <f t="shared" si="364"/>
        <v>0</v>
      </c>
    </row>
    <row r="671" spans="1:14" ht="12.75" hidden="1" customHeight="1" x14ac:dyDescent="0.2">
      <c r="A671" s="259" t="s">
        <v>540</v>
      </c>
      <c r="B671" s="271">
        <v>801</v>
      </c>
      <c r="C671" s="252" t="s">
        <v>190</v>
      </c>
      <c r="D671" s="252" t="s">
        <v>207</v>
      </c>
      <c r="E671" s="252" t="s">
        <v>176</v>
      </c>
      <c r="F671" s="252" t="s">
        <v>64</v>
      </c>
      <c r="G671" s="256"/>
      <c r="H671" s="256"/>
      <c r="I671" s="257"/>
      <c r="J671" s="257">
        <f>G671+I671</f>
        <v>0</v>
      </c>
      <c r="K671" s="257"/>
      <c r="L671" s="257">
        <f>H671+J671</f>
        <v>0</v>
      </c>
      <c r="M671" s="257">
        <f t="shared" si="364"/>
        <v>0</v>
      </c>
      <c r="N671" s="257">
        <f t="shared" si="364"/>
        <v>0</v>
      </c>
    </row>
    <row r="672" spans="1:14" ht="30" hidden="1" x14ac:dyDescent="0.2">
      <c r="A672" s="259" t="s">
        <v>541</v>
      </c>
      <c r="B672" s="271">
        <v>801</v>
      </c>
      <c r="C672" s="252" t="s">
        <v>190</v>
      </c>
      <c r="D672" s="252" t="s">
        <v>207</v>
      </c>
      <c r="E672" s="252" t="s">
        <v>178</v>
      </c>
      <c r="F672" s="252"/>
      <c r="G672" s="256"/>
      <c r="H672" s="256"/>
      <c r="I672" s="257"/>
      <c r="J672" s="257">
        <f>J674+J673</f>
        <v>0</v>
      </c>
      <c r="K672" s="257"/>
      <c r="L672" s="257">
        <f>L674+L673</f>
        <v>0</v>
      </c>
      <c r="M672" s="257">
        <f t="shared" ref="M672:N672" si="365">M674+M673</f>
        <v>0</v>
      </c>
      <c r="N672" s="257">
        <f t="shared" si="365"/>
        <v>0</v>
      </c>
    </row>
    <row r="673" spans="1:14" ht="15" hidden="1" x14ac:dyDescent="0.2">
      <c r="A673" s="259" t="s">
        <v>93</v>
      </c>
      <c r="B673" s="271">
        <v>801</v>
      </c>
      <c r="C673" s="252" t="s">
        <v>190</v>
      </c>
      <c r="D673" s="252" t="s">
        <v>207</v>
      </c>
      <c r="E673" s="252" t="s">
        <v>178</v>
      </c>
      <c r="F673" s="252" t="s">
        <v>94</v>
      </c>
      <c r="G673" s="256"/>
      <c r="H673" s="256"/>
      <c r="I673" s="257"/>
      <c r="J673" s="257">
        <f>G673+I673</f>
        <v>0</v>
      </c>
      <c r="K673" s="257"/>
      <c r="L673" s="257">
        <f>H673+J673</f>
        <v>0</v>
      </c>
      <c r="M673" s="257">
        <f t="shared" ref="M673:N674" si="366">I673+K673</f>
        <v>0</v>
      </c>
      <c r="N673" s="257">
        <f t="shared" si="366"/>
        <v>0</v>
      </c>
    </row>
    <row r="674" spans="1:14" ht="12.75" hidden="1" customHeight="1" x14ac:dyDescent="0.2">
      <c r="A674" s="259" t="s">
        <v>541</v>
      </c>
      <c r="B674" s="271">
        <v>801</v>
      </c>
      <c r="C674" s="252" t="s">
        <v>190</v>
      </c>
      <c r="D674" s="252" t="s">
        <v>207</v>
      </c>
      <c r="E674" s="252" t="s">
        <v>178</v>
      </c>
      <c r="F674" s="252" t="s">
        <v>64</v>
      </c>
      <c r="G674" s="256"/>
      <c r="H674" s="256"/>
      <c r="I674" s="257"/>
      <c r="J674" s="257">
        <f>G674+I674</f>
        <v>0</v>
      </c>
      <c r="K674" s="257"/>
      <c r="L674" s="257">
        <f>H674+J674</f>
        <v>0</v>
      </c>
      <c r="M674" s="257">
        <f t="shared" si="366"/>
        <v>0</v>
      </c>
      <c r="N674" s="257">
        <f t="shared" si="366"/>
        <v>0</v>
      </c>
    </row>
    <row r="675" spans="1:14" ht="12.75" hidden="1" customHeight="1" x14ac:dyDescent="0.2">
      <c r="A675" s="259" t="s">
        <v>93</v>
      </c>
      <c r="B675" s="271">
        <v>801</v>
      </c>
      <c r="C675" s="252" t="s">
        <v>190</v>
      </c>
      <c r="D675" s="252" t="s">
        <v>207</v>
      </c>
      <c r="E675" s="252" t="s">
        <v>178</v>
      </c>
      <c r="F675" s="250"/>
      <c r="G675" s="256"/>
      <c r="H675" s="256"/>
      <c r="I675" s="257"/>
      <c r="J675" s="257" t="e">
        <f>J685+J691+J676+J695+J698</f>
        <v>#REF!</v>
      </c>
      <c r="K675" s="257"/>
      <c r="L675" s="257" t="e">
        <f>L685+L691+L676+L695+L698</f>
        <v>#REF!</v>
      </c>
      <c r="M675" s="257">
        <f t="shared" ref="M675:N675" si="367">M685+M691+M676+M695+M698</f>
        <v>0</v>
      </c>
      <c r="N675" s="257" t="e">
        <f t="shared" si="367"/>
        <v>#REF!</v>
      </c>
    </row>
    <row r="676" spans="1:14" ht="12.75" hidden="1" customHeight="1" x14ac:dyDescent="0.2">
      <c r="A676" s="259" t="s">
        <v>541</v>
      </c>
      <c r="B676" s="271">
        <v>801</v>
      </c>
      <c r="C676" s="252" t="s">
        <v>190</v>
      </c>
      <c r="D676" s="252" t="s">
        <v>207</v>
      </c>
      <c r="E676" s="252" t="s">
        <v>178</v>
      </c>
      <c r="F676" s="250"/>
      <c r="G676" s="256"/>
      <c r="H676" s="256"/>
      <c r="I676" s="257"/>
      <c r="J676" s="257" t="e">
        <f>J679+J677+J681+J683</f>
        <v>#REF!</v>
      </c>
      <c r="K676" s="257"/>
      <c r="L676" s="257" t="e">
        <f>L679+L677+L681+L683</f>
        <v>#REF!</v>
      </c>
      <c r="M676" s="257">
        <f t="shared" ref="M676:N676" si="368">M679+M677+M681+M683</f>
        <v>0</v>
      </c>
      <c r="N676" s="257" t="e">
        <f t="shared" si="368"/>
        <v>#REF!</v>
      </c>
    </row>
    <row r="677" spans="1:14" ht="12.75" hidden="1" customHeight="1" x14ac:dyDescent="0.2">
      <c r="A677" s="259" t="s">
        <v>93</v>
      </c>
      <c r="B677" s="271">
        <v>801</v>
      </c>
      <c r="C677" s="252" t="s">
        <v>190</v>
      </c>
      <c r="D677" s="252" t="s">
        <v>207</v>
      </c>
      <c r="E677" s="252" t="s">
        <v>178</v>
      </c>
      <c r="F677" s="252"/>
      <c r="G677" s="256"/>
      <c r="H677" s="256"/>
      <c r="I677" s="257"/>
      <c r="J677" s="257" t="e">
        <f>J678</f>
        <v>#REF!</v>
      </c>
      <c r="K677" s="257"/>
      <c r="L677" s="257" t="e">
        <f>L678</f>
        <v>#REF!</v>
      </c>
      <c r="M677" s="257">
        <f t="shared" ref="M677:N677" si="369">M678</f>
        <v>0</v>
      </c>
      <c r="N677" s="257" t="e">
        <f t="shared" si="369"/>
        <v>#REF!</v>
      </c>
    </row>
    <row r="678" spans="1:14" ht="12.75" hidden="1" customHeight="1" x14ac:dyDescent="0.2">
      <c r="A678" s="259" t="s">
        <v>541</v>
      </c>
      <c r="B678" s="271">
        <v>801</v>
      </c>
      <c r="C678" s="252" t="s">
        <v>190</v>
      </c>
      <c r="D678" s="252" t="s">
        <v>207</v>
      </c>
      <c r="E678" s="252" t="s">
        <v>178</v>
      </c>
      <c r="F678" s="252" t="s">
        <v>64</v>
      </c>
      <c r="G678" s="256"/>
      <c r="H678" s="256"/>
      <c r="I678" s="257"/>
      <c r="J678" s="257" t="e">
        <f>#REF!+I678</f>
        <v>#REF!</v>
      </c>
      <c r="K678" s="257"/>
      <c r="L678" s="257" t="e">
        <f>F678+J678</f>
        <v>#REF!</v>
      </c>
      <c r="M678" s="257">
        <f t="shared" ref="M678:N678" si="370">G678+K678</f>
        <v>0</v>
      </c>
      <c r="N678" s="257" t="e">
        <f t="shared" si="370"/>
        <v>#REF!</v>
      </c>
    </row>
    <row r="679" spans="1:14" ht="25.5" hidden="1" customHeight="1" x14ac:dyDescent="0.2">
      <c r="A679" s="259" t="s">
        <v>93</v>
      </c>
      <c r="B679" s="271">
        <v>801</v>
      </c>
      <c r="C679" s="252" t="s">
        <v>190</v>
      </c>
      <c r="D679" s="252" t="s">
        <v>207</v>
      </c>
      <c r="E679" s="252" t="s">
        <v>178</v>
      </c>
      <c r="F679" s="252"/>
      <c r="G679" s="256"/>
      <c r="H679" s="256"/>
      <c r="I679" s="257"/>
      <c r="J679" s="257" t="e">
        <f>J680</f>
        <v>#REF!</v>
      </c>
      <c r="K679" s="257"/>
      <c r="L679" s="257" t="e">
        <f>L680</f>
        <v>#REF!</v>
      </c>
      <c r="M679" s="257">
        <f t="shared" ref="M679:N679" si="371">M680</f>
        <v>0</v>
      </c>
      <c r="N679" s="257" t="e">
        <f t="shared" si="371"/>
        <v>#REF!</v>
      </c>
    </row>
    <row r="680" spans="1:14" ht="12.75" hidden="1" customHeight="1" x14ac:dyDescent="0.2">
      <c r="A680" s="259" t="s">
        <v>541</v>
      </c>
      <c r="B680" s="271">
        <v>801</v>
      </c>
      <c r="C680" s="252" t="s">
        <v>190</v>
      </c>
      <c r="D680" s="252" t="s">
        <v>207</v>
      </c>
      <c r="E680" s="252" t="s">
        <v>178</v>
      </c>
      <c r="F680" s="252" t="s">
        <v>64</v>
      </c>
      <c r="G680" s="256"/>
      <c r="H680" s="256"/>
      <c r="I680" s="257"/>
      <c r="J680" s="257" t="e">
        <f>#REF!+I680</f>
        <v>#REF!</v>
      </c>
      <c r="K680" s="257"/>
      <c r="L680" s="257" t="e">
        <f>F680+J680</f>
        <v>#REF!</v>
      </c>
      <c r="M680" s="257">
        <f t="shared" ref="M680:N680" si="372">G680+K680</f>
        <v>0</v>
      </c>
      <c r="N680" s="257" t="e">
        <f t="shared" si="372"/>
        <v>#REF!</v>
      </c>
    </row>
    <row r="681" spans="1:14" ht="25.5" hidden="1" customHeight="1" x14ac:dyDescent="0.2">
      <c r="A681" s="259" t="s">
        <v>93</v>
      </c>
      <c r="B681" s="271">
        <v>801</v>
      </c>
      <c r="C681" s="252" t="s">
        <v>190</v>
      </c>
      <c r="D681" s="252" t="s">
        <v>207</v>
      </c>
      <c r="E681" s="252" t="s">
        <v>178</v>
      </c>
      <c r="F681" s="252"/>
      <c r="G681" s="256"/>
      <c r="H681" s="256"/>
      <c r="I681" s="257"/>
      <c r="J681" s="257" t="e">
        <f>J682</f>
        <v>#REF!</v>
      </c>
      <c r="K681" s="257"/>
      <c r="L681" s="257" t="e">
        <f>L682</f>
        <v>#REF!</v>
      </c>
      <c r="M681" s="257">
        <f t="shared" ref="M681:N681" si="373">M682</f>
        <v>0</v>
      </c>
      <c r="N681" s="257" t="e">
        <f t="shared" si="373"/>
        <v>#REF!</v>
      </c>
    </row>
    <row r="682" spans="1:14" ht="12.75" hidden="1" customHeight="1" x14ac:dyDescent="0.2">
      <c r="A682" s="259" t="s">
        <v>541</v>
      </c>
      <c r="B682" s="271">
        <v>801</v>
      </c>
      <c r="C682" s="252" t="s">
        <v>190</v>
      </c>
      <c r="D682" s="252" t="s">
        <v>207</v>
      </c>
      <c r="E682" s="252" t="s">
        <v>178</v>
      </c>
      <c r="F682" s="252" t="s">
        <v>64</v>
      </c>
      <c r="G682" s="256"/>
      <c r="H682" s="256"/>
      <c r="I682" s="257"/>
      <c r="J682" s="257" t="e">
        <f>#REF!+I682</f>
        <v>#REF!</v>
      </c>
      <c r="K682" s="257"/>
      <c r="L682" s="257" t="e">
        <f>F682+J682</f>
        <v>#REF!</v>
      </c>
      <c r="M682" s="257">
        <f t="shared" ref="M682:N682" si="374">G682+K682</f>
        <v>0</v>
      </c>
      <c r="N682" s="257" t="e">
        <f t="shared" si="374"/>
        <v>#REF!</v>
      </c>
    </row>
    <row r="683" spans="1:14" ht="27" hidden="1" customHeight="1" x14ac:dyDescent="0.2">
      <c r="A683" s="259" t="s">
        <v>93</v>
      </c>
      <c r="B683" s="271">
        <v>801</v>
      </c>
      <c r="C683" s="252" t="s">
        <v>190</v>
      </c>
      <c r="D683" s="252" t="s">
        <v>207</v>
      </c>
      <c r="E683" s="252" t="s">
        <v>178</v>
      </c>
      <c r="F683" s="252"/>
      <c r="G683" s="256"/>
      <c r="H683" s="256"/>
      <c r="I683" s="257"/>
      <c r="J683" s="257" t="e">
        <f>J684+J688+J689+J690</f>
        <v>#REF!</v>
      </c>
      <c r="K683" s="257"/>
      <c r="L683" s="257" t="e">
        <f>L684+L688+L689+L690</f>
        <v>#REF!</v>
      </c>
      <c r="M683" s="257">
        <f t="shared" ref="M683:N683" si="375">M684+M688+M689+M690</f>
        <v>0</v>
      </c>
      <c r="N683" s="257" t="e">
        <f t="shared" si="375"/>
        <v>#REF!</v>
      </c>
    </row>
    <row r="684" spans="1:14" ht="12.75" hidden="1" customHeight="1" x14ac:dyDescent="0.2">
      <c r="A684" s="259" t="s">
        <v>541</v>
      </c>
      <c r="B684" s="271">
        <v>801</v>
      </c>
      <c r="C684" s="252" t="s">
        <v>190</v>
      </c>
      <c r="D684" s="252" t="s">
        <v>207</v>
      </c>
      <c r="E684" s="252" t="s">
        <v>178</v>
      </c>
      <c r="F684" s="252" t="s">
        <v>301</v>
      </c>
      <c r="G684" s="256"/>
      <c r="H684" s="256"/>
      <c r="I684" s="257"/>
      <c r="J684" s="257" t="e">
        <f>#REF!+I684</f>
        <v>#REF!</v>
      </c>
      <c r="K684" s="257"/>
      <c r="L684" s="257" t="e">
        <f>F684+J684</f>
        <v>#REF!</v>
      </c>
      <c r="M684" s="257">
        <f t="shared" ref="M684:N684" si="376">G684+K684</f>
        <v>0</v>
      </c>
      <c r="N684" s="257" t="e">
        <f t="shared" si="376"/>
        <v>#REF!</v>
      </c>
    </row>
    <row r="685" spans="1:14" ht="25.5" hidden="1" customHeight="1" x14ac:dyDescent="0.2">
      <c r="A685" s="259" t="s">
        <v>93</v>
      </c>
      <c r="B685" s="271">
        <v>801</v>
      </c>
      <c r="C685" s="252" t="s">
        <v>190</v>
      </c>
      <c r="D685" s="252" t="s">
        <v>207</v>
      </c>
      <c r="E685" s="252" t="s">
        <v>178</v>
      </c>
      <c r="F685" s="252"/>
      <c r="G685" s="256"/>
      <c r="H685" s="256"/>
      <c r="I685" s="257"/>
      <c r="J685" s="257" t="e">
        <f>J686</f>
        <v>#REF!</v>
      </c>
      <c r="K685" s="257"/>
      <c r="L685" s="257" t="e">
        <f>L686</f>
        <v>#REF!</v>
      </c>
      <c r="M685" s="257">
        <f t="shared" ref="M685:N686" si="377">M686</f>
        <v>0</v>
      </c>
      <c r="N685" s="257" t="e">
        <f t="shared" si="377"/>
        <v>#REF!</v>
      </c>
    </row>
    <row r="686" spans="1:14" ht="12.75" hidden="1" customHeight="1" x14ac:dyDescent="0.2">
      <c r="A686" s="259" t="s">
        <v>541</v>
      </c>
      <c r="B686" s="271">
        <v>801</v>
      </c>
      <c r="C686" s="252" t="s">
        <v>190</v>
      </c>
      <c r="D686" s="252" t="s">
        <v>207</v>
      </c>
      <c r="E686" s="252" t="s">
        <v>178</v>
      </c>
      <c r="F686" s="271"/>
      <c r="G686" s="256"/>
      <c r="H686" s="256"/>
      <c r="I686" s="257"/>
      <c r="J686" s="257" t="e">
        <f>J687</f>
        <v>#REF!</v>
      </c>
      <c r="K686" s="257"/>
      <c r="L686" s="257" t="e">
        <f>L687</f>
        <v>#REF!</v>
      </c>
      <c r="M686" s="257">
        <f t="shared" si="377"/>
        <v>0</v>
      </c>
      <c r="N686" s="257" t="e">
        <f t="shared" si="377"/>
        <v>#REF!</v>
      </c>
    </row>
    <row r="687" spans="1:14" ht="12.75" hidden="1" customHeight="1" x14ac:dyDescent="0.2">
      <c r="A687" s="259" t="s">
        <v>93</v>
      </c>
      <c r="B687" s="271">
        <v>801</v>
      </c>
      <c r="C687" s="252" t="s">
        <v>190</v>
      </c>
      <c r="D687" s="252" t="s">
        <v>207</v>
      </c>
      <c r="E687" s="252" t="s">
        <v>178</v>
      </c>
      <c r="F687" s="252" t="s">
        <v>150</v>
      </c>
      <c r="G687" s="256"/>
      <c r="H687" s="256"/>
      <c r="I687" s="257"/>
      <c r="J687" s="257" t="e">
        <f>#REF!+I687</f>
        <v>#REF!</v>
      </c>
      <c r="K687" s="257"/>
      <c r="L687" s="257" t="e">
        <f t="shared" ref="L687:L690" si="378">F687+J687</f>
        <v>#REF!</v>
      </c>
      <c r="M687" s="257">
        <f t="shared" ref="M687:M690" si="379">G687+K687</f>
        <v>0</v>
      </c>
      <c r="N687" s="257" t="e">
        <f t="shared" ref="N687:N690" si="380">H687+L687</f>
        <v>#REF!</v>
      </c>
    </row>
    <row r="688" spans="1:14" ht="12.75" hidden="1" customHeight="1" x14ac:dyDescent="0.2">
      <c r="A688" s="259" t="s">
        <v>541</v>
      </c>
      <c r="B688" s="271">
        <v>801</v>
      </c>
      <c r="C688" s="252" t="s">
        <v>190</v>
      </c>
      <c r="D688" s="252" t="s">
        <v>207</v>
      </c>
      <c r="E688" s="252" t="s">
        <v>178</v>
      </c>
      <c r="F688" s="252" t="s">
        <v>96</v>
      </c>
      <c r="G688" s="256"/>
      <c r="H688" s="256"/>
      <c r="I688" s="257"/>
      <c r="J688" s="257" t="e">
        <f>#REF!+I688</f>
        <v>#REF!</v>
      </c>
      <c r="K688" s="257"/>
      <c r="L688" s="257" t="e">
        <f t="shared" si="378"/>
        <v>#REF!</v>
      </c>
      <c r="M688" s="257">
        <f t="shared" si="379"/>
        <v>0</v>
      </c>
      <c r="N688" s="257" t="e">
        <f t="shared" si="380"/>
        <v>#REF!</v>
      </c>
    </row>
    <row r="689" spans="1:14" ht="12.75" hidden="1" customHeight="1" x14ac:dyDescent="0.2">
      <c r="A689" s="259" t="s">
        <v>93</v>
      </c>
      <c r="B689" s="271">
        <v>801</v>
      </c>
      <c r="C689" s="252" t="s">
        <v>190</v>
      </c>
      <c r="D689" s="252" t="s">
        <v>207</v>
      </c>
      <c r="E689" s="252" t="s">
        <v>178</v>
      </c>
      <c r="F689" s="252" t="s">
        <v>98</v>
      </c>
      <c r="G689" s="256"/>
      <c r="H689" s="256"/>
      <c r="I689" s="257"/>
      <c r="J689" s="257" t="e">
        <f>#REF!+I689</f>
        <v>#REF!</v>
      </c>
      <c r="K689" s="257"/>
      <c r="L689" s="257" t="e">
        <f t="shared" si="378"/>
        <v>#REF!</v>
      </c>
      <c r="M689" s="257">
        <f t="shared" si="379"/>
        <v>0</v>
      </c>
      <c r="N689" s="257" t="e">
        <f t="shared" si="380"/>
        <v>#REF!</v>
      </c>
    </row>
    <row r="690" spans="1:14" ht="12.75" hidden="1" customHeight="1" x14ac:dyDescent="0.2">
      <c r="A690" s="259" t="s">
        <v>541</v>
      </c>
      <c r="B690" s="271">
        <v>801</v>
      </c>
      <c r="C690" s="252" t="s">
        <v>190</v>
      </c>
      <c r="D690" s="252" t="s">
        <v>207</v>
      </c>
      <c r="E690" s="252" t="s">
        <v>178</v>
      </c>
      <c r="F690" s="252" t="s">
        <v>94</v>
      </c>
      <c r="G690" s="256"/>
      <c r="H690" s="256"/>
      <c r="I690" s="257"/>
      <c r="J690" s="257" t="e">
        <f>#REF!+I690</f>
        <v>#REF!</v>
      </c>
      <c r="K690" s="257"/>
      <c r="L690" s="257" t="e">
        <f t="shared" si="378"/>
        <v>#REF!</v>
      </c>
      <c r="M690" s="257">
        <f t="shared" si="379"/>
        <v>0</v>
      </c>
      <c r="N690" s="257" t="e">
        <f t="shared" si="380"/>
        <v>#REF!</v>
      </c>
    </row>
    <row r="691" spans="1:14" ht="12.75" hidden="1" customHeight="1" x14ac:dyDescent="0.2">
      <c r="A691" s="259" t="s">
        <v>93</v>
      </c>
      <c r="B691" s="271">
        <v>801</v>
      </c>
      <c r="C691" s="252" t="s">
        <v>190</v>
      </c>
      <c r="D691" s="252" t="s">
        <v>207</v>
      </c>
      <c r="E691" s="252" t="s">
        <v>178</v>
      </c>
      <c r="F691" s="252"/>
      <c r="G691" s="256"/>
      <c r="H691" s="256"/>
      <c r="I691" s="257"/>
      <c r="J691" s="257" t="e">
        <f>J692</f>
        <v>#REF!</v>
      </c>
      <c r="K691" s="257"/>
      <c r="L691" s="257" t="e">
        <f>L692</f>
        <v>#REF!</v>
      </c>
      <c r="M691" s="257">
        <f t="shared" ref="M691:N691" si="381">M692</f>
        <v>0</v>
      </c>
      <c r="N691" s="257" t="e">
        <f t="shared" si="381"/>
        <v>#REF!</v>
      </c>
    </row>
    <row r="692" spans="1:14" ht="12.75" hidden="1" customHeight="1" x14ac:dyDescent="0.2">
      <c r="A692" s="259" t="s">
        <v>541</v>
      </c>
      <c r="B692" s="271">
        <v>801</v>
      </c>
      <c r="C692" s="252" t="s">
        <v>190</v>
      </c>
      <c r="D692" s="252" t="s">
        <v>207</v>
      </c>
      <c r="E692" s="252" t="s">
        <v>178</v>
      </c>
      <c r="F692" s="252"/>
      <c r="G692" s="256"/>
      <c r="H692" s="256"/>
      <c r="I692" s="257"/>
      <c r="J692" s="257" t="e">
        <f>J693+J694</f>
        <v>#REF!</v>
      </c>
      <c r="K692" s="257"/>
      <c r="L692" s="257" t="e">
        <f>L693+L694</f>
        <v>#REF!</v>
      </c>
      <c r="M692" s="257">
        <f t="shared" ref="M692:N692" si="382">M693+M694</f>
        <v>0</v>
      </c>
      <c r="N692" s="257" t="e">
        <f t="shared" si="382"/>
        <v>#REF!</v>
      </c>
    </row>
    <row r="693" spans="1:14" ht="12.75" hidden="1" customHeight="1" x14ac:dyDescent="0.2">
      <c r="A693" s="259" t="s">
        <v>93</v>
      </c>
      <c r="B693" s="271">
        <v>801</v>
      </c>
      <c r="C693" s="252" t="s">
        <v>190</v>
      </c>
      <c r="D693" s="252" t="s">
        <v>207</v>
      </c>
      <c r="E693" s="252" t="s">
        <v>178</v>
      </c>
      <c r="F693" s="252" t="s">
        <v>301</v>
      </c>
      <c r="G693" s="256"/>
      <c r="H693" s="256"/>
      <c r="I693" s="257"/>
      <c r="J693" s="257" t="e">
        <f>#REF!+I693</f>
        <v>#REF!</v>
      </c>
      <c r="K693" s="257"/>
      <c r="L693" s="257" t="e">
        <f>F693+J693</f>
        <v>#REF!</v>
      </c>
      <c r="M693" s="257">
        <f t="shared" ref="M693:N694" si="383">G693+K693</f>
        <v>0</v>
      </c>
      <c r="N693" s="257" t="e">
        <f t="shared" si="383"/>
        <v>#REF!</v>
      </c>
    </row>
    <row r="694" spans="1:14" ht="12.75" hidden="1" customHeight="1" x14ac:dyDescent="0.2">
      <c r="A694" s="259" t="s">
        <v>541</v>
      </c>
      <c r="B694" s="271">
        <v>801</v>
      </c>
      <c r="C694" s="252" t="s">
        <v>190</v>
      </c>
      <c r="D694" s="252" t="s">
        <v>207</v>
      </c>
      <c r="E694" s="252" t="s">
        <v>178</v>
      </c>
      <c r="F694" s="252" t="s">
        <v>303</v>
      </c>
      <c r="G694" s="256"/>
      <c r="H694" s="256"/>
      <c r="I694" s="257"/>
      <c r="J694" s="257" t="e">
        <f>#REF!+I694</f>
        <v>#REF!</v>
      </c>
      <c r="K694" s="257"/>
      <c r="L694" s="257" t="e">
        <f>F694+J694</f>
        <v>#REF!</v>
      </c>
      <c r="M694" s="257">
        <f t="shared" si="383"/>
        <v>0</v>
      </c>
      <c r="N694" s="257" t="e">
        <f t="shared" si="383"/>
        <v>#REF!</v>
      </c>
    </row>
    <row r="695" spans="1:14" ht="25.5" hidden="1" customHeight="1" x14ac:dyDescent="0.2">
      <c r="A695" s="259" t="s">
        <v>93</v>
      </c>
      <c r="B695" s="271">
        <v>801</v>
      </c>
      <c r="C695" s="252" t="s">
        <v>190</v>
      </c>
      <c r="D695" s="252" t="s">
        <v>207</v>
      </c>
      <c r="E695" s="252" t="s">
        <v>178</v>
      </c>
      <c r="F695" s="252"/>
      <c r="G695" s="256"/>
      <c r="H695" s="256"/>
      <c r="I695" s="257"/>
      <c r="J695" s="257" t="e">
        <f>J696</f>
        <v>#REF!</v>
      </c>
      <c r="K695" s="257"/>
      <c r="L695" s="257" t="e">
        <f>L696</f>
        <v>#REF!</v>
      </c>
      <c r="M695" s="257">
        <f t="shared" ref="M695:N696" si="384">M696</f>
        <v>0</v>
      </c>
      <c r="N695" s="257" t="e">
        <f t="shared" si="384"/>
        <v>#REF!</v>
      </c>
    </row>
    <row r="696" spans="1:14" ht="25.5" hidden="1" customHeight="1" x14ac:dyDescent="0.2">
      <c r="A696" s="259" t="s">
        <v>541</v>
      </c>
      <c r="B696" s="271">
        <v>801</v>
      </c>
      <c r="C696" s="252" t="s">
        <v>190</v>
      </c>
      <c r="D696" s="252" t="s">
        <v>207</v>
      </c>
      <c r="E696" s="252" t="s">
        <v>178</v>
      </c>
      <c r="F696" s="252"/>
      <c r="G696" s="256"/>
      <c r="H696" s="256"/>
      <c r="I696" s="257"/>
      <c r="J696" s="257" t="e">
        <f>J697</f>
        <v>#REF!</v>
      </c>
      <c r="K696" s="257"/>
      <c r="L696" s="257" t="e">
        <f>L697</f>
        <v>#REF!</v>
      </c>
      <c r="M696" s="257">
        <f t="shared" si="384"/>
        <v>0</v>
      </c>
      <c r="N696" s="257" t="e">
        <f t="shared" si="384"/>
        <v>#REF!</v>
      </c>
    </row>
    <row r="697" spans="1:14" ht="12.75" hidden="1" customHeight="1" x14ac:dyDescent="0.2">
      <c r="A697" s="259" t="s">
        <v>93</v>
      </c>
      <c r="B697" s="271">
        <v>801</v>
      </c>
      <c r="C697" s="252" t="s">
        <v>190</v>
      </c>
      <c r="D697" s="252" t="s">
        <v>207</v>
      </c>
      <c r="E697" s="252" t="s">
        <v>178</v>
      </c>
      <c r="F697" s="252" t="s">
        <v>301</v>
      </c>
      <c r="G697" s="256"/>
      <c r="H697" s="256"/>
      <c r="I697" s="257"/>
      <c r="J697" s="257" t="e">
        <f>#REF!+I697</f>
        <v>#REF!</v>
      </c>
      <c r="K697" s="257"/>
      <c r="L697" s="257" t="e">
        <f>F697+J697</f>
        <v>#REF!</v>
      </c>
      <c r="M697" s="257">
        <f t="shared" ref="M697:N697" si="385">G697+K697</f>
        <v>0</v>
      </c>
      <c r="N697" s="257" t="e">
        <f t="shared" si="385"/>
        <v>#REF!</v>
      </c>
    </row>
    <row r="698" spans="1:14" ht="12.75" hidden="1" customHeight="1" x14ac:dyDescent="0.2">
      <c r="A698" s="259" t="s">
        <v>541</v>
      </c>
      <c r="B698" s="271">
        <v>801</v>
      </c>
      <c r="C698" s="252" t="s">
        <v>190</v>
      </c>
      <c r="D698" s="252" t="s">
        <v>207</v>
      </c>
      <c r="E698" s="252" t="s">
        <v>178</v>
      </c>
      <c r="F698" s="252"/>
      <c r="G698" s="256"/>
      <c r="H698" s="256"/>
      <c r="I698" s="257"/>
      <c r="J698" s="257" t="e">
        <f>J699+J703+J701</f>
        <v>#REF!</v>
      </c>
      <c r="K698" s="257"/>
      <c r="L698" s="257" t="e">
        <f>L699+L703+L701</f>
        <v>#REF!</v>
      </c>
      <c r="M698" s="257">
        <f t="shared" ref="M698:N698" si="386">M699+M703+M701</f>
        <v>0</v>
      </c>
      <c r="N698" s="257" t="e">
        <f t="shared" si="386"/>
        <v>#REF!</v>
      </c>
    </row>
    <row r="699" spans="1:14" ht="25.5" hidden="1" customHeight="1" x14ac:dyDescent="0.2">
      <c r="A699" s="259" t="s">
        <v>93</v>
      </c>
      <c r="B699" s="271">
        <v>801</v>
      </c>
      <c r="C699" s="252" t="s">
        <v>190</v>
      </c>
      <c r="D699" s="252" t="s">
        <v>207</v>
      </c>
      <c r="E699" s="252" t="s">
        <v>178</v>
      </c>
      <c r="F699" s="252"/>
      <c r="G699" s="256"/>
      <c r="H699" s="256"/>
      <c r="I699" s="257"/>
      <c r="J699" s="257" t="e">
        <f>J700</f>
        <v>#REF!</v>
      </c>
      <c r="K699" s="257"/>
      <c r="L699" s="257" t="e">
        <f>L700</f>
        <v>#REF!</v>
      </c>
      <c r="M699" s="257">
        <f t="shared" ref="M699:N699" si="387">M700</f>
        <v>0</v>
      </c>
      <c r="N699" s="257" t="e">
        <f t="shared" si="387"/>
        <v>#REF!</v>
      </c>
    </row>
    <row r="700" spans="1:14" ht="12.75" hidden="1" customHeight="1" x14ac:dyDescent="0.2">
      <c r="A700" s="259" t="s">
        <v>541</v>
      </c>
      <c r="B700" s="271">
        <v>801</v>
      </c>
      <c r="C700" s="252" t="s">
        <v>190</v>
      </c>
      <c r="D700" s="252" t="s">
        <v>207</v>
      </c>
      <c r="E700" s="252" t="s">
        <v>178</v>
      </c>
      <c r="F700" s="252" t="s">
        <v>64</v>
      </c>
      <c r="G700" s="256"/>
      <c r="H700" s="256"/>
      <c r="I700" s="257"/>
      <c r="J700" s="257" t="e">
        <f>#REF!+I700</f>
        <v>#REF!</v>
      </c>
      <c r="K700" s="257"/>
      <c r="L700" s="257" t="e">
        <f>F700+J700</f>
        <v>#REF!</v>
      </c>
      <c r="M700" s="257">
        <f t="shared" ref="M700:N700" si="388">G700+K700</f>
        <v>0</v>
      </c>
      <c r="N700" s="257" t="e">
        <f t="shared" si="388"/>
        <v>#REF!</v>
      </c>
    </row>
    <row r="701" spans="1:14" ht="25.5" hidden="1" customHeight="1" x14ac:dyDescent="0.2">
      <c r="A701" s="259" t="s">
        <v>93</v>
      </c>
      <c r="B701" s="271">
        <v>801</v>
      </c>
      <c r="C701" s="252" t="s">
        <v>190</v>
      </c>
      <c r="D701" s="252" t="s">
        <v>207</v>
      </c>
      <c r="E701" s="252" t="s">
        <v>178</v>
      </c>
      <c r="F701" s="252"/>
      <c r="G701" s="256"/>
      <c r="H701" s="256"/>
      <c r="I701" s="257"/>
      <c r="J701" s="257" t="e">
        <f>J702</f>
        <v>#REF!</v>
      </c>
      <c r="K701" s="257"/>
      <c r="L701" s="257" t="e">
        <f>L702</f>
        <v>#REF!</v>
      </c>
      <c r="M701" s="257">
        <f t="shared" ref="M701:N701" si="389">M702</f>
        <v>0</v>
      </c>
      <c r="N701" s="257" t="e">
        <f t="shared" si="389"/>
        <v>#REF!</v>
      </c>
    </row>
    <row r="702" spans="1:14" ht="12.75" hidden="1" customHeight="1" x14ac:dyDescent="0.2">
      <c r="A702" s="259" t="s">
        <v>541</v>
      </c>
      <c r="B702" s="271">
        <v>801</v>
      </c>
      <c r="C702" s="252" t="s">
        <v>190</v>
      </c>
      <c r="D702" s="252" t="s">
        <v>207</v>
      </c>
      <c r="E702" s="252" t="s">
        <v>178</v>
      </c>
      <c r="F702" s="252" t="s">
        <v>64</v>
      </c>
      <c r="G702" s="256"/>
      <c r="H702" s="256"/>
      <c r="I702" s="257"/>
      <c r="J702" s="257" t="e">
        <f>#REF!+I702</f>
        <v>#REF!</v>
      </c>
      <c r="K702" s="257"/>
      <c r="L702" s="257" t="e">
        <f>F702+J702</f>
        <v>#REF!</v>
      </c>
      <c r="M702" s="257">
        <f t="shared" ref="M702:N702" si="390">G702+K702</f>
        <v>0</v>
      </c>
      <c r="N702" s="257" t="e">
        <f t="shared" si="390"/>
        <v>#REF!</v>
      </c>
    </row>
    <row r="703" spans="1:14" ht="25.5" hidden="1" customHeight="1" x14ac:dyDescent="0.2">
      <c r="A703" s="259" t="s">
        <v>93</v>
      </c>
      <c r="B703" s="271">
        <v>801</v>
      </c>
      <c r="C703" s="252" t="s">
        <v>190</v>
      </c>
      <c r="D703" s="252" t="s">
        <v>207</v>
      </c>
      <c r="E703" s="252" t="s">
        <v>178</v>
      </c>
      <c r="F703" s="252"/>
      <c r="G703" s="256"/>
      <c r="H703" s="256"/>
      <c r="I703" s="257"/>
      <c r="J703" s="257" t="e">
        <f>J704</f>
        <v>#REF!</v>
      </c>
      <c r="K703" s="257"/>
      <c r="L703" s="257" t="e">
        <f>L704</f>
        <v>#REF!</v>
      </c>
      <c r="M703" s="257">
        <f t="shared" ref="M703:N703" si="391">M704</f>
        <v>0</v>
      </c>
      <c r="N703" s="257" t="e">
        <f t="shared" si="391"/>
        <v>#REF!</v>
      </c>
    </row>
    <row r="704" spans="1:14" ht="12.75" hidden="1" customHeight="1" x14ac:dyDescent="0.2">
      <c r="A704" s="259" t="s">
        <v>541</v>
      </c>
      <c r="B704" s="271">
        <v>801</v>
      </c>
      <c r="C704" s="252" t="s">
        <v>190</v>
      </c>
      <c r="D704" s="252" t="s">
        <v>207</v>
      </c>
      <c r="E704" s="252" t="s">
        <v>178</v>
      </c>
      <c r="F704" s="252" t="s">
        <v>64</v>
      </c>
      <c r="G704" s="256"/>
      <c r="H704" s="256"/>
      <c r="I704" s="257"/>
      <c r="J704" s="257" t="e">
        <f>#REF!+I704</f>
        <v>#REF!</v>
      </c>
      <c r="K704" s="257"/>
      <c r="L704" s="257" t="e">
        <f>F704+J704</f>
        <v>#REF!</v>
      </c>
      <c r="M704" s="257">
        <f t="shared" ref="M704:N704" si="392">G704+K704</f>
        <v>0</v>
      </c>
      <c r="N704" s="257" t="e">
        <f t="shared" si="392"/>
        <v>#REF!</v>
      </c>
    </row>
    <row r="705" spans="1:14" ht="12.75" hidden="1" customHeight="1" x14ac:dyDescent="0.2">
      <c r="A705" s="259" t="s">
        <v>93</v>
      </c>
      <c r="B705" s="271">
        <v>801</v>
      </c>
      <c r="C705" s="252" t="s">
        <v>190</v>
      </c>
      <c r="D705" s="252" t="s">
        <v>207</v>
      </c>
      <c r="E705" s="252" t="s">
        <v>178</v>
      </c>
      <c r="F705" s="250"/>
      <c r="G705" s="256"/>
      <c r="H705" s="256"/>
      <c r="I705" s="257"/>
      <c r="J705" s="257" t="e">
        <f>J706</f>
        <v>#REF!</v>
      </c>
      <c r="K705" s="257"/>
      <c r="L705" s="257" t="e">
        <f t="shared" ref="L705:N707" si="393">L706</f>
        <v>#REF!</v>
      </c>
      <c r="M705" s="257">
        <f t="shared" si="393"/>
        <v>0</v>
      </c>
      <c r="N705" s="257" t="e">
        <f t="shared" si="393"/>
        <v>#REF!</v>
      </c>
    </row>
    <row r="706" spans="1:14" ht="12.75" hidden="1" customHeight="1" x14ac:dyDescent="0.2">
      <c r="A706" s="259" t="s">
        <v>541</v>
      </c>
      <c r="B706" s="271">
        <v>801</v>
      </c>
      <c r="C706" s="252" t="s">
        <v>190</v>
      </c>
      <c r="D706" s="252" t="s">
        <v>207</v>
      </c>
      <c r="E706" s="252" t="s">
        <v>178</v>
      </c>
      <c r="F706" s="250"/>
      <c r="G706" s="256"/>
      <c r="H706" s="256"/>
      <c r="I706" s="257"/>
      <c r="J706" s="257" t="e">
        <f>J707</f>
        <v>#REF!</v>
      </c>
      <c r="K706" s="257"/>
      <c r="L706" s="257" t="e">
        <f t="shared" si="393"/>
        <v>#REF!</v>
      </c>
      <c r="M706" s="257">
        <f t="shared" si="393"/>
        <v>0</v>
      </c>
      <c r="N706" s="257" t="e">
        <f t="shared" si="393"/>
        <v>#REF!</v>
      </c>
    </row>
    <row r="707" spans="1:14" ht="25.5" hidden="1" customHeight="1" x14ac:dyDescent="0.2">
      <c r="A707" s="259" t="s">
        <v>93</v>
      </c>
      <c r="B707" s="271">
        <v>801</v>
      </c>
      <c r="C707" s="252" t="s">
        <v>190</v>
      </c>
      <c r="D707" s="252" t="s">
        <v>207</v>
      </c>
      <c r="E707" s="252" t="s">
        <v>178</v>
      </c>
      <c r="F707" s="252"/>
      <c r="G707" s="256"/>
      <c r="H707" s="256"/>
      <c r="I707" s="257"/>
      <c r="J707" s="257" t="e">
        <f>J708</f>
        <v>#REF!</v>
      </c>
      <c r="K707" s="257"/>
      <c r="L707" s="257" t="e">
        <f t="shared" si="393"/>
        <v>#REF!</v>
      </c>
      <c r="M707" s="257">
        <f t="shared" si="393"/>
        <v>0</v>
      </c>
      <c r="N707" s="257" t="e">
        <f t="shared" si="393"/>
        <v>#REF!</v>
      </c>
    </row>
    <row r="708" spans="1:14" ht="25.5" hidden="1" customHeight="1" x14ac:dyDescent="0.2">
      <c r="A708" s="259" t="s">
        <v>541</v>
      </c>
      <c r="B708" s="271">
        <v>801</v>
      </c>
      <c r="C708" s="252" t="s">
        <v>190</v>
      </c>
      <c r="D708" s="252" t="s">
        <v>207</v>
      </c>
      <c r="E708" s="252" t="s">
        <v>178</v>
      </c>
      <c r="F708" s="252"/>
      <c r="G708" s="256"/>
      <c r="H708" s="256"/>
      <c r="I708" s="257"/>
      <c r="J708" s="257" t="e">
        <f>J711</f>
        <v>#REF!</v>
      </c>
      <c r="K708" s="257"/>
      <c r="L708" s="257" t="e">
        <f>L711</f>
        <v>#REF!</v>
      </c>
      <c r="M708" s="257">
        <f t="shared" ref="M708:N708" si="394">M711</f>
        <v>0</v>
      </c>
      <c r="N708" s="257" t="e">
        <f t="shared" si="394"/>
        <v>#REF!</v>
      </c>
    </row>
    <row r="709" spans="1:14" ht="25.5" hidden="1" customHeight="1" x14ac:dyDescent="0.2">
      <c r="A709" s="259" t="s">
        <v>423</v>
      </c>
      <c r="B709" s="271">
        <v>801</v>
      </c>
      <c r="C709" s="252" t="s">
        <v>190</v>
      </c>
      <c r="D709" s="252" t="s">
        <v>207</v>
      </c>
      <c r="E709" s="252" t="s">
        <v>409</v>
      </c>
      <c r="F709" s="252"/>
      <c r="G709" s="256"/>
      <c r="H709" s="256"/>
      <c r="I709" s="257">
        <f>I710</f>
        <v>-50</v>
      </c>
      <c r="J709" s="257">
        <f>J710</f>
        <v>-50</v>
      </c>
      <c r="K709" s="257">
        <f>K710</f>
        <v>-50</v>
      </c>
      <c r="L709" s="257">
        <f>L710</f>
        <v>-50</v>
      </c>
      <c r="M709" s="257">
        <f t="shared" ref="M709:N709" si="395">M710</f>
        <v>-100</v>
      </c>
      <c r="N709" s="257">
        <f t="shared" si="395"/>
        <v>-100</v>
      </c>
    </row>
    <row r="710" spans="1:14" ht="19.5" hidden="1" customHeight="1" x14ac:dyDescent="0.2">
      <c r="A710" s="259" t="s">
        <v>93</v>
      </c>
      <c r="B710" s="271">
        <v>801</v>
      </c>
      <c r="C710" s="252" t="s">
        <v>190</v>
      </c>
      <c r="D710" s="252" t="s">
        <v>207</v>
      </c>
      <c r="E710" s="252" t="s">
        <v>409</v>
      </c>
      <c r="F710" s="252" t="s">
        <v>94</v>
      </c>
      <c r="G710" s="256"/>
      <c r="H710" s="256"/>
      <c r="I710" s="257">
        <v>-50</v>
      </c>
      <c r="J710" s="257">
        <f>G710+I710</f>
        <v>-50</v>
      </c>
      <c r="K710" s="257">
        <v>-50</v>
      </c>
      <c r="L710" s="257">
        <f>H710+J710</f>
        <v>-50</v>
      </c>
      <c r="M710" s="257">
        <f t="shared" ref="M710:N710" si="396">I710+K710</f>
        <v>-100</v>
      </c>
      <c r="N710" s="257">
        <f t="shared" si="396"/>
        <v>-100</v>
      </c>
    </row>
    <row r="711" spans="1:14" ht="12.75" hidden="1" customHeight="1" x14ac:dyDescent="0.2">
      <c r="A711" s="259" t="s">
        <v>93</v>
      </c>
      <c r="B711" s="271">
        <v>801</v>
      </c>
      <c r="C711" s="252" t="s">
        <v>190</v>
      </c>
      <c r="D711" s="252" t="s">
        <v>207</v>
      </c>
      <c r="E711" s="252" t="s">
        <v>178</v>
      </c>
      <c r="F711" s="252" t="s">
        <v>150</v>
      </c>
      <c r="G711" s="256"/>
      <c r="H711" s="256"/>
      <c r="I711" s="257"/>
      <c r="J711" s="257" t="e">
        <f>#REF!+I711</f>
        <v>#REF!</v>
      </c>
      <c r="K711" s="257"/>
      <c r="L711" s="257" t="e">
        <f>F711+J711</f>
        <v>#REF!</v>
      </c>
      <c r="M711" s="257">
        <f t="shared" ref="M711:N711" si="397">G711+K711</f>
        <v>0</v>
      </c>
      <c r="N711" s="257" t="e">
        <f t="shared" si="397"/>
        <v>#REF!</v>
      </c>
    </row>
    <row r="712" spans="1:14" ht="26.25" hidden="1" customHeight="1" x14ac:dyDescent="0.2">
      <c r="A712" s="259" t="s">
        <v>424</v>
      </c>
      <c r="B712" s="271">
        <v>801</v>
      </c>
      <c r="C712" s="252" t="s">
        <v>190</v>
      </c>
      <c r="D712" s="252" t="s">
        <v>207</v>
      </c>
      <c r="E712" s="252" t="s">
        <v>411</v>
      </c>
      <c r="F712" s="252"/>
      <c r="G712" s="256"/>
      <c r="H712" s="256"/>
      <c r="I712" s="257">
        <f>I713</f>
        <v>-50</v>
      </c>
      <c r="J712" s="257">
        <f>J713</f>
        <v>-50</v>
      </c>
      <c r="K712" s="257">
        <f>K713</f>
        <v>-50</v>
      </c>
      <c r="L712" s="257">
        <f>L713</f>
        <v>-50</v>
      </c>
      <c r="M712" s="257">
        <f t="shared" ref="M712:N712" si="398">M713</f>
        <v>-100</v>
      </c>
      <c r="N712" s="257">
        <f t="shared" si="398"/>
        <v>-100</v>
      </c>
    </row>
    <row r="713" spans="1:14" ht="18" hidden="1" customHeight="1" x14ac:dyDescent="0.2">
      <c r="A713" s="259" t="s">
        <v>93</v>
      </c>
      <c r="B713" s="271">
        <v>801</v>
      </c>
      <c r="C713" s="252" t="s">
        <v>190</v>
      </c>
      <c r="D713" s="252" t="s">
        <v>207</v>
      </c>
      <c r="E713" s="252" t="s">
        <v>411</v>
      </c>
      <c r="F713" s="252" t="s">
        <v>94</v>
      </c>
      <c r="G713" s="256"/>
      <c r="H713" s="256"/>
      <c r="I713" s="257">
        <v>-50</v>
      </c>
      <c r="J713" s="257">
        <f>G713+I713</f>
        <v>-50</v>
      </c>
      <c r="K713" s="257">
        <v>-50</v>
      </c>
      <c r="L713" s="257">
        <f>H713+J713</f>
        <v>-50</v>
      </c>
      <c r="M713" s="257">
        <f t="shared" ref="M713:N713" si="399">I713+K713</f>
        <v>-100</v>
      </c>
      <c r="N713" s="257">
        <f t="shared" si="399"/>
        <v>-100</v>
      </c>
    </row>
    <row r="714" spans="1:14" s="20" customFormat="1" ht="16.5" hidden="1" customHeight="1" x14ac:dyDescent="0.2">
      <c r="A714" s="259" t="s">
        <v>477</v>
      </c>
      <c r="B714" s="271">
        <v>801</v>
      </c>
      <c r="C714" s="252" t="s">
        <v>190</v>
      </c>
      <c r="D714" s="252" t="s">
        <v>207</v>
      </c>
      <c r="E714" s="252" t="s">
        <v>450</v>
      </c>
      <c r="F714" s="252"/>
      <c r="G714" s="256"/>
      <c r="H714" s="256"/>
      <c r="I714" s="257">
        <f>I715+I717+I719+I721</f>
        <v>-7909.7</v>
      </c>
      <c r="J714" s="257" t="e">
        <f>J715+J717+J719+J721</f>
        <v>#REF!</v>
      </c>
      <c r="K714" s="257">
        <f>K715+K717+K719+K721</f>
        <v>-7909.7</v>
      </c>
      <c r="L714" s="257" t="e">
        <f>L715+L717+L719+L721</f>
        <v>#REF!</v>
      </c>
      <c r="M714" s="257" t="e">
        <f t="shared" ref="M714:N714" si="400">M715+M717+M719+M721</f>
        <v>#REF!</v>
      </c>
      <c r="N714" s="257" t="e">
        <f t="shared" si="400"/>
        <v>#REF!</v>
      </c>
    </row>
    <row r="715" spans="1:14" ht="84.75" hidden="1" customHeight="1" x14ac:dyDescent="0.2">
      <c r="A715" s="270" t="s">
        <v>475</v>
      </c>
      <c r="B715" s="271">
        <v>801</v>
      </c>
      <c r="C715" s="252" t="s">
        <v>190</v>
      </c>
      <c r="D715" s="252" t="s">
        <v>207</v>
      </c>
      <c r="E715" s="252" t="s">
        <v>476</v>
      </c>
      <c r="F715" s="252"/>
      <c r="G715" s="256"/>
      <c r="H715" s="256"/>
      <c r="I715" s="257">
        <f>I716</f>
        <v>0</v>
      </c>
      <c r="J715" s="257">
        <f>J716</f>
        <v>0</v>
      </c>
      <c r="K715" s="257">
        <f>K716</f>
        <v>0</v>
      </c>
      <c r="L715" s="257">
        <f>L716</f>
        <v>0</v>
      </c>
      <c r="M715" s="257">
        <f t="shared" ref="M715:N715" si="401">M716</f>
        <v>0</v>
      </c>
      <c r="N715" s="257">
        <f t="shared" si="401"/>
        <v>0</v>
      </c>
    </row>
    <row r="716" spans="1:14" ht="30" hidden="1" customHeight="1" x14ac:dyDescent="0.2">
      <c r="A716" s="259" t="s">
        <v>93</v>
      </c>
      <c r="B716" s="271">
        <v>801</v>
      </c>
      <c r="C716" s="252" t="s">
        <v>190</v>
      </c>
      <c r="D716" s="252" t="s">
        <v>207</v>
      </c>
      <c r="E716" s="252" t="s">
        <v>476</v>
      </c>
      <c r="F716" s="252" t="s">
        <v>94</v>
      </c>
      <c r="G716" s="256"/>
      <c r="H716" s="256"/>
      <c r="I716" s="257">
        <v>0</v>
      </c>
      <c r="J716" s="257">
        <f>G716+I716</f>
        <v>0</v>
      </c>
      <c r="K716" s="257">
        <v>0</v>
      </c>
      <c r="L716" s="257">
        <f>H716+J716</f>
        <v>0</v>
      </c>
      <c r="M716" s="257">
        <f t="shared" ref="M716:N716" si="402">I716+K716</f>
        <v>0</v>
      </c>
      <c r="N716" s="257">
        <f t="shared" si="402"/>
        <v>0</v>
      </c>
    </row>
    <row r="717" spans="1:14" ht="84.75" hidden="1" customHeight="1" x14ac:dyDescent="0.2">
      <c r="A717" s="367" t="s">
        <v>473</v>
      </c>
      <c r="B717" s="271">
        <v>801</v>
      </c>
      <c r="C717" s="252" t="s">
        <v>190</v>
      </c>
      <c r="D717" s="252" t="s">
        <v>207</v>
      </c>
      <c r="E717" s="252" t="s">
        <v>474</v>
      </c>
      <c r="F717" s="252"/>
      <c r="G717" s="256"/>
      <c r="H717" s="256"/>
      <c r="I717" s="257">
        <f>I718</f>
        <v>0</v>
      </c>
      <c r="J717" s="257">
        <f>J718</f>
        <v>0</v>
      </c>
      <c r="K717" s="257">
        <f>K718</f>
        <v>0</v>
      </c>
      <c r="L717" s="257">
        <f>L718</f>
        <v>0</v>
      </c>
      <c r="M717" s="257">
        <f t="shared" ref="M717:N717" si="403">M718</f>
        <v>0</v>
      </c>
      <c r="N717" s="257">
        <f t="shared" si="403"/>
        <v>0</v>
      </c>
    </row>
    <row r="718" spans="1:14" ht="30" hidden="1" customHeight="1" x14ac:dyDescent="0.2">
      <c r="A718" s="259" t="s">
        <v>93</v>
      </c>
      <c r="B718" s="271">
        <v>801</v>
      </c>
      <c r="C718" s="252" t="s">
        <v>190</v>
      </c>
      <c r="D718" s="252" t="s">
        <v>207</v>
      </c>
      <c r="E718" s="252" t="s">
        <v>474</v>
      </c>
      <c r="F718" s="252" t="s">
        <v>94</v>
      </c>
      <c r="G718" s="256"/>
      <c r="H718" s="256"/>
      <c r="I718" s="257">
        <v>0</v>
      </c>
      <c r="J718" s="257">
        <f>G718+I718</f>
        <v>0</v>
      </c>
      <c r="K718" s="257">
        <v>0</v>
      </c>
      <c r="L718" s="257">
        <f>H718+J718</f>
        <v>0</v>
      </c>
      <c r="M718" s="257">
        <f t="shared" ref="M718:N718" si="404">I718+K718</f>
        <v>0</v>
      </c>
      <c r="N718" s="257">
        <f t="shared" si="404"/>
        <v>0</v>
      </c>
    </row>
    <row r="719" spans="1:14" ht="114" hidden="1" customHeight="1" x14ac:dyDescent="0.2">
      <c r="A719" s="367" t="s">
        <v>471</v>
      </c>
      <c r="B719" s="271">
        <v>801</v>
      </c>
      <c r="C719" s="252" t="s">
        <v>190</v>
      </c>
      <c r="D719" s="252" t="s">
        <v>207</v>
      </c>
      <c r="E719" s="252" t="s">
        <v>472</v>
      </c>
      <c r="F719" s="252"/>
      <c r="G719" s="256"/>
      <c r="H719" s="256"/>
      <c r="I719" s="257">
        <f>I720</f>
        <v>0</v>
      </c>
      <c r="J719" s="257">
        <f>J720</f>
        <v>0</v>
      </c>
      <c r="K719" s="257">
        <f>K720</f>
        <v>0</v>
      </c>
      <c r="L719" s="257">
        <f>L720</f>
        <v>0</v>
      </c>
      <c r="M719" s="257">
        <f t="shared" ref="M719:N719" si="405">M720</f>
        <v>0</v>
      </c>
      <c r="N719" s="257">
        <f t="shared" si="405"/>
        <v>0</v>
      </c>
    </row>
    <row r="720" spans="1:14" ht="30" hidden="1" customHeight="1" x14ac:dyDescent="0.2">
      <c r="A720" s="259" t="s">
        <v>93</v>
      </c>
      <c r="B720" s="271">
        <v>801</v>
      </c>
      <c r="C720" s="252" t="s">
        <v>190</v>
      </c>
      <c r="D720" s="252" t="s">
        <v>207</v>
      </c>
      <c r="E720" s="252" t="s">
        <v>472</v>
      </c>
      <c r="F720" s="252" t="s">
        <v>94</v>
      </c>
      <c r="G720" s="256"/>
      <c r="H720" s="256"/>
      <c r="I720" s="257">
        <v>0</v>
      </c>
      <c r="J720" s="257">
        <f>G720+I720</f>
        <v>0</v>
      </c>
      <c r="K720" s="257">
        <v>0</v>
      </c>
      <c r="L720" s="257">
        <f>H720+J720</f>
        <v>0</v>
      </c>
      <c r="M720" s="257">
        <f t="shared" ref="M720:N720" si="406">I720+K720</f>
        <v>0</v>
      </c>
      <c r="N720" s="257">
        <f t="shared" si="406"/>
        <v>0</v>
      </c>
    </row>
    <row r="721" spans="1:14" ht="18.75" hidden="1" customHeight="1" x14ac:dyDescent="0.2">
      <c r="A721" s="259" t="s">
        <v>511</v>
      </c>
      <c r="B721" s="271">
        <v>801</v>
      </c>
      <c r="C721" s="252" t="s">
        <v>190</v>
      </c>
      <c r="D721" s="252" t="s">
        <v>207</v>
      </c>
      <c r="E721" s="252" t="s">
        <v>512</v>
      </c>
      <c r="F721" s="252"/>
      <c r="G721" s="256"/>
      <c r="H721" s="256"/>
      <c r="I721" s="257">
        <f>I722</f>
        <v>-7909.7</v>
      </c>
      <c r="J721" s="257" t="e">
        <f>J722</f>
        <v>#REF!</v>
      </c>
      <c r="K721" s="257">
        <f>K722</f>
        <v>-7909.7</v>
      </c>
      <c r="L721" s="257" t="e">
        <f>L722</f>
        <v>#REF!</v>
      </c>
      <c r="M721" s="257" t="e">
        <f t="shared" ref="M721:N721" si="407">M722</f>
        <v>#REF!</v>
      </c>
      <c r="N721" s="257" t="e">
        <f t="shared" si="407"/>
        <v>#REF!</v>
      </c>
    </row>
    <row r="722" spans="1:14" ht="15.75" hidden="1" customHeight="1" x14ac:dyDescent="0.2">
      <c r="A722" s="259" t="s">
        <v>95</v>
      </c>
      <c r="B722" s="271">
        <v>801</v>
      </c>
      <c r="C722" s="252" t="s">
        <v>190</v>
      </c>
      <c r="D722" s="252" t="s">
        <v>207</v>
      </c>
      <c r="E722" s="252" t="s">
        <v>512</v>
      </c>
      <c r="F722" s="252" t="s">
        <v>96</v>
      </c>
      <c r="G722" s="256"/>
      <c r="H722" s="256"/>
      <c r="I722" s="257">
        <v>-7909.7</v>
      </c>
      <c r="J722" s="257" t="e">
        <f>#REF!+I722</f>
        <v>#REF!</v>
      </c>
      <c r="K722" s="257">
        <v>-7909.7</v>
      </c>
      <c r="L722" s="257" t="e">
        <f>#REF!+J722</f>
        <v>#REF!</v>
      </c>
      <c r="M722" s="257" t="e">
        <f>#REF!+K722</f>
        <v>#REF!</v>
      </c>
      <c r="N722" s="257" t="e">
        <f>#REF!+L722</f>
        <v>#REF!</v>
      </c>
    </row>
    <row r="723" spans="1:14" ht="15.75" hidden="1" customHeight="1" x14ac:dyDescent="0.2">
      <c r="A723" s="259" t="s">
        <v>836</v>
      </c>
      <c r="B723" s="271">
        <v>801</v>
      </c>
      <c r="C723" s="252" t="s">
        <v>190</v>
      </c>
      <c r="D723" s="252" t="s">
        <v>207</v>
      </c>
      <c r="E723" s="252" t="s">
        <v>869</v>
      </c>
      <c r="F723" s="252"/>
      <c r="G723" s="256"/>
      <c r="H723" s="257">
        <f>H725</f>
        <v>448</v>
      </c>
      <c r="I723" s="257">
        <f>I725</f>
        <v>0</v>
      </c>
      <c r="J723" s="257">
        <f t="shared" ref="J723:J734" si="408">H723+I723</f>
        <v>448</v>
      </c>
      <c r="K723" s="257">
        <f>K724+K725</f>
        <v>0</v>
      </c>
      <c r="L723" s="257">
        <f>L724+L725</f>
        <v>0</v>
      </c>
      <c r="M723" s="257">
        <f t="shared" ref="M723:N723" si="409">M724+M725</f>
        <v>0</v>
      </c>
      <c r="N723" s="257">
        <f t="shared" si="409"/>
        <v>0</v>
      </c>
    </row>
    <row r="724" spans="1:14" ht="15.75" hidden="1" customHeight="1" x14ac:dyDescent="0.2">
      <c r="A724" s="259" t="s">
        <v>99</v>
      </c>
      <c r="B724" s="271">
        <v>801</v>
      </c>
      <c r="C724" s="252" t="s">
        <v>190</v>
      </c>
      <c r="D724" s="252" t="s">
        <v>207</v>
      </c>
      <c r="E724" s="252" t="s">
        <v>869</v>
      </c>
      <c r="F724" s="252" t="s">
        <v>100</v>
      </c>
      <c r="G724" s="256"/>
      <c r="H724" s="257"/>
      <c r="I724" s="257"/>
      <c r="J724" s="257"/>
      <c r="K724" s="257">
        <v>5.19</v>
      </c>
      <c r="L724" s="257">
        <v>0</v>
      </c>
      <c r="M724" s="257">
        <v>0</v>
      </c>
      <c r="N724" s="257">
        <v>0</v>
      </c>
    </row>
    <row r="725" spans="1:14" ht="18.75" hidden="1" customHeight="1" x14ac:dyDescent="0.2">
      <c r="A725" s="259" t="s">
        <v>93</v>
      </c>
      <c r="B725" s="271">
        <v>801</v>
      </c>
      <c r="C725" s="252" t="s">
        <v>190</v>
      </c>
      <c r="D725" s="252" t="s">
        <v>207</v>
      </c>
      <c r="E725" s="252" t="s">
        <v>869</v>
      </c>
      <c r="F725" s="252" t="s">
        <v>94</v>
      </c>
      <c r="G725" s="256"/>
      <c r="H725" s="257">
        <v>448</v>
      </c>
      <c r="I725" s="257">
        <v>0</v>
      </c>
      <c r="J725" s="257">
        <f t="shared" si="408"/>
        <v>448</v>
      </c>
      <c r="K725" s="257">
        <v>-5.19</v>
      </c>
      <c r="L725" s="257">
        <v>0</v>
      </c>
      <c r="M725" s="257">
        <v>0</v>
      </c>
      <c r="N725" s="257">
        <v>0</v>
      </c>
    </row>
    <row r="726" spans="1:14" ht="28.5" customHeight="1" x14ac:dyDescent="0.2">
      <c r="A726" s="259" t="s">
        <v>835</v>
      </c>
      <c r="B726" s="271">
        <v>801</v>
      </c>
      <c r="C726" s="252" t="s">
        <v>190</v>
      </c>
      <c r="D726" s="252" t="s">
        <v>207</v>
      </c>
      <c r="E726" s="252" t="s">
        <v>834</v>
      </c>
      <c r="F726" s="252"/>
      <c r="G726" s="256"/>
      <c r="H726" s="257">
        <f>H727</f>
        <v>0.1</v>
      </c>
      <c r="I726" s="257">
        <f>I727</f>
        <v>0</v>
      </c>
      <c r="J726" s="257">
        <f t="shared" si="408"/>
        <v>0.1</v>
      </c>
      <c r="K726" s="257">
        <f>K727</f>
        <v>0</v>
      </c>
      <c r="L726" s="257">
        <f>L727</f>
        <v>0.1</v>
      </c>
      <c r="M726" s="257">
        <f t="shared" ref="M726:N726" si="410">M727</f>
        <v>0</v>
      </c>
      <c r="N726" s="257">
        <f t="shared" si="410"/>
        <v>0.1</v>
      </c>
    </row>
    <row r="727" spans="1:14" ht="19.5" customHeight="1" x14ac:dyDescent="0.2">
      <c r="A727" s="259" t="s">
        <v>93</v>
      </c>
      <c r="B727" s="271">
        <v>801</v>
      </c>
      <c r="C727" s="252" t="s">
        <v>190</v>
      </c>
      <c r="D727" s="252" t="s">
        <v>207</v>
      </c>
      <c r="E727" s="252" t="s">
        <v>834</v>
      </c>
      <c r="F727" s="252" t="s">
        <v>94</v>
      </c>
      <c r="G727" s="256"/>
      <c r="H727" s="257">
        <v>0.1</v>
      </c>
      <c r="I727" s="257">
        <v>0</v>
      </c>
      <c r="J727" s="257">
        <f t="shared" si="408"/>
        <v>0.1</v>
      </c>
      <c r="K727" s="257">
        <v>0</v>
      </c>
      <c r="L727" s="257">
        <v>0.1</v>
      </c>
      <c r="M727" s="257">
        <v>0</v>
      </c>
      <c r="N727" s="257">
        <f>L727+M727</f>
        <v>0.1</v>
      </c>
    </row>
    <row r="728" spans="1:14" ht="30.75" customHeight="1" x14ac:dyDescent="0.2">
      <c r="A728" s="259" t="s">
        <v>509</v>
      </c>
      <c r="B728" s="271">
        <v>801</v>
      </c>
      <c r="C728" s="252" t="s">
        <v>190</v>
      </c>
      <c r="D728" s="252" t="s">
        <v>207</v>
      </c>
      <c r="E728" s="252" t="s">
        <v>818</v>
      </c>
      <c r="F728" s="252"/>
      <c r="G728" s="256"/>
      <c r="H728" s="257">
        <f>H729</f>
        <v>50</v>
      </c>
      <c r="I728" s="257">
        <f>I729</f>
        <v>0</v>
      </c>
      <c r="J728" s="257">
        <f t="shared" si="408"/>
        <v>50</v>
      </c>
      <c r="K728" s="257">
        <f>K729</f>
        <v>-26.4</v>
      </c>
      <c r="L728" s="257">
        <f>L729</f>
        <v>50</v>
      </c>
      <c r="M728" s="257">
        <f t="shared" ref="M728:N728" si="411">M729</f>
        <v>-40</v>
      </c>
      <c r="N728" s="257">
        <f t="shared" si="411"/>
        <v>10</v>
      </c>
    </row>
    <row r="729" spans="1:14" ht="19.5" customHeight="1" x14ac:dyDescent="0.2">
      <c r="A729" s="259" t="s">
        <v>93</v>
      </c>
      <c r="B729" s="271">
        <v>801</v>
      </c>
      <c r="C729" s="252" t="s">
        <v>190</v>
      </c>
      <c r="D729" s="252" t="s">
        <v>207</v>
      </c>
      <c r="E729" s="252" t="s">
        <v>818</v>
      </c>
      <c r="F729" s="252" t="s">
        <v>94</v>
      </c>
      <c r="G729" s="256"/>
      <c r="H729" s="257">
        <v>50</v>
      </c>
      <c r="I729" s="257">
        <v>0</v>
      </c>
      <c r="J729" s="257">
        <f t="shared" si="408"/>
        <v>50</v>
      </c>
      <c r="K729" s="257">
        <v>-26.4</v>
      </c>
      <c r="L729" s="257">
        <v>50</v>
      </c>
      <c r="M729" s="257">
        <v>-40</v>
      </c>
      <c r="N729" s="257">
        <f>L729+M729</f>
        <v>10</v>
      </c>
    </row>
    <row r="730" spans="1:14" ht="19.5" customHeight="1" x14ac:dyDescent="0.2">
      <c r="A730" s="259" t="s">
        <v>499</v>
      </c>
      <c r="B730" s="271">
        <v>801</v>
      </c>
      <c r="C730" s="252" t="s">
        <v>190</v>
      </c>
      <c r="D730" s="252" t="s">
        <v>207</v>
      </c>
      <c r="E730" s="252" t="s">
        <v>751</v>
      </c>
      <c r="F730" s="252"/>
      <c r="G730" s="256"/>
      <c r="H730" s="257">
        <f>H731</f>
        <v>10</v>
      </c>
      <c r="I730" s="257">
        <f>I731</f>
        <v>0</v>
      </c>
      <c r="J730" s="257">
        <f t="shared" si="408"/>
        <v>10</v>
      </c>
      <c r="K730" s="257">
        <f>K731</f>
        <v>0</v>
      </c>
      <c r="L730" s="257">
        <f>L731</f>
        <v>10</v>
      </c>
      <c r="M730" s="257">
        <f t="shared" ref="M730:N730" si="412">M731</f>
        <v>-10</v>
      </c>
      <c r="N730" s="257">
        <f t="shared" si="412"/>
        <v>0</v>
      </c>
    </row>
    <row r="731" spans="1:14" ht="19.5" customHeight="1" x14ac:dyDescent="0.2">
      <c r="A731" s="259" t="s">
        <v>121</v>
      </c>
      <c r="B731" s="271">
        <v>801</v>
      </c>
      <c r="C731" s="252" t="s">
        <v>190</v>
      </c>
      <c r="D731" s="252" t="s">
        <v>207</v>
      </c>
      <c r="E731" s="252" t="s">
        <v>751</v>
      </c>
      <c r="F731" s="252" t="s">
        <v>94</v>
      </c>
      <c r="G731" s="256"/>
      <c r="H731" s="257">
        <v>10</v>
      </c>
      <c r="I731" s="257">
        <v>0</v>
      </c>
      <c r="J731" s="257">
        <f t="shared" si="408"/>
        <v>10</v>
      </c>
      <c r="K731" s="257">
        <v>0</v>
      </c>
      <c r="L731" s="257">
        <v>10</v>
      </c>
      <c r="M731" s="257">
        <v>-10</v>
      </c>
      <c r="N731" s="257">
        <f>L731+M731</f>
        <v>0</v>
      </c>
    </row>
    <row r="732" spans="1:14" ht="29.25" customHeight="1" x14ac:dyDescent="0.2">
      <c r="A732" s="259" t="s">
        <v>510</v>
      </c>
      <c r="B732" s="271">
        <v>801</v>
      </c>
      <c r="C732" s="252" t="s">
        <v>190</v>
      </c>
      <c r="D732" s="252" t="s">
        <v>207</v>
      </c>
      <c r="E732" s="252" t="s">
        <v>817</v>
      </c>
      <c r="F732" s="252"/>
      <c r="G732" s="256"/>
      <c r="H732" s="257">
        <f>H734</f>
        <v>50</v>
      </c>
      <c r="I732" s="257">
        <f>I734</f>
        <v>0</v>
      </c>
      <c r="J732" s="257">
        <f t="shared" si="408"/>
        <v>50</v>
      </c>
      <c r="K732" s="257">
        <f>K734+K733</f>
        <v>0</v>
      </c>
      <c r="L732" s="257">
        <f>L734+L733</f>
        <v>50</v>
      </c>
      <c r="M732" s="257">
        <f t="shared" ref="M732:N732" si="413">M734+M733</f>
        <v>-40</v>
      </c>
      <c r="N732" s="257">
        <f t="shared" si="413"/>
        <v>10</v>
      </c>
    </row>
    <row r="733" spans="1:14" ht="19.5" hidden="1" customHeight="1" x14ac:dyDescent="0.2">
      <c r="A733" s="259" t="s">
        <v>97</v>
      </c>
      <c r="B733" s="271">
        <v>801</v>
      </c>
      <c r="C733" s="252" t="s">
        <v>190</v>
      </c>
      <c r="D733" s="252" t="s">
        <v>207</v>
      </c>
      <c r="E733" s="252" t="s">
        <v>817</v>
      </c>
      <c r="F733" s="252" t="s">
        <v>98</v>
      </c>
      <c r="G733" s="256"/>
      <c r="H733" s="257"/>
      <c r="I733" s="257"/>
      <c r="J733" s="257"/>
      <c r="K733" s="257">
        <v>7.5</v>
      </c>
      <c r="L733" s="257">
        <v>0</v>
      </c>
      <c r="M733" s="257"/>
      <c r="N733" s="257">
        <v>0</v>
      </c>
    </row>
    <row r="734" spans="1:14" ht="19.5" customHeight="1" x14ac:dyDescent="0.2">
      <c r="A734" s="259" t="s">
        <v>93</v>
      </c>
      <c r="B734" s="271">
        <v>801</v>
      </c>
      <c r="C734" s="252" t="s">
        <v>190</v>
      </c>
      <c r="D734" s="252" t="s">
        <v>207</v>
      </c>
      <c r="E734" s="252" t="s">
        <v>817</v>
      </c>
      <c r="F734" s="252" t="s">
        <v>94</v>
      </c>
      <c r="G734" s="256"/>
      <c r="H734" s="257">
        <v>50</v>
      </c>
      <c r="I734" s="257">
        <v>0</v>
      </c>
      <c r="J734" s="257">
        <f t="shared" si="408"/>
        <v>50</v>
      </c>
      <c r="K734" s="257">
        <v>-7.5</v>
      </c>
      <c r="L734" s="257">
        <v>50</v>
      </c>
      <c r="M734" s="257">
        <v>-40</v>
      </c>
      <c r="N734" s="257">
        <f>L734+M734</f>
        <v>10</v>
      </c>
    </row>
    <row r="735" spans="1:14" ht="19.5" customHeight="1" x14ac:dyDescent="0.2">
      <c r="A735" s="259" t="s">
        <v>506</v>
      </c>
      <c r="B735" s="271">
        <v>801</v>
      </c>
      <c r="C735" s="252" t="s">
        <v>190</v>
      </c>
      <c r="D735" s="252" t="s">
        <v>207</v>
      </c>
      <c r="E735" s="252" t="s">
        <v>868</v>
      </c>
      <c r="F735" s="252"/>
      <c r="G735" s="374">
        <f>G738+G740+G741</f>
        <v>0</v>
      </c>
      <c r="H735" s="275">
        <f>H736+H737+H738+H740+H741+H739</f>
        <v>7192</v>
      </c>
      <c r="I735" s="275">
        <f>I736+I737+I738+I740+I741+I739</f>
        <v>1484.8999999999996</v>
      </c>
      <c r="J735" s="275">
        <f>J736+J737+J738+J740+J741+J739</f>
        <v>8676.9</v>
      </c>
      <c r="K735" s="275">
        <f>K736+K737+K738+K740+K741+K739+K742</f>
        <v>9.9999999999909051E-3</v>
      </c>
      <c r="L735" s="275">
        <f>L736+L737+L739+L740+L741</f>
        <v>8814</v>
      </c>
      <c r="M735" s="275">
        <f t="shared" ref="M735:N735" si="414">M736+M737+M739+M740+M741</f>
        <v>381</v>
      </c>
      <c r="N735" s="275">
        <f t="shared" si="414"/>
        <v>9195</v>
      </c>
    </row>
    <row r="736" spans="1:14" ht="30.75" customHeight="1" x14ac:dyDescent="0.2">
      <c r="A736" s="361" t="s">
        <v>897</v>
      </c>
      <c r="B736" s="271">
        <v>801</v>
      </c>
      <c r="C736" s="252" t="s">
        <v>190</v>
      </c>
      <c r="D736" s="252" t="s">
        <v>207</v>
      </c>
      <c r="E736" s="252" t="s">
        <v>868</v>
      </c>
      <c r="F736" s="252" t="s">
        <v>832</v>
      </c>
      <c r="G736" s="359"/>
      <c r="H736" s="257">
        <v>0</v>
      </c>
      <c r="I736" s="257">
        <v>6334.5</v>
      </c>
      <c r="J736" s="257">
        <f t="shared" ref="J736:J741" si="415">H736+I736</f>
        <v>6334.5</v>
      </c>
      <c r="K736" s="257">
        <v>0.05</v>
      </c>
      <c r="L736" s="257">
        <v>6144</v>
      </c>
      <c r="M736" s="257">
        <v>666</v>
      </c>
      <c r="N736" s="257">
        <f>L736+M736</f>
        <v>6810</v>
      </c>
    </row>
    <row r="737" spans="1:14" ht="32.25" customHeight="1" x14ac:dyDescent="0.2">
      <c r="A737" s="361" t="s">
        <v>900</v>
      </c>
      <c r="B737" s="271">
        <v>801</v>
      </c>
      <c r="C737" s="252" t="s">
        <v>190</v>
      </c>
      <c r="D737" s="252" t="s">
        <v>207</v>
      </c>
      <c r="E737" s="252" t="s">
        <v>868</v>
      </c>
      <c r="F737" s="252" t="s">
        <v>899</v>
      </c>
      <c r="G737" s="359"/>
      <c r="H737" s="257">
        <v>0</v>
      </c>
      <c r="I737" s="257">
        <v>1782.4</v>
      </c>
      <c r="J737" s="257">
        <f t="shared" si="415"/>
        <v>1782.4</v>
      </c>
      <c r="K737" s="257">
        <v>-0.04</v>
      </c>
      <c r="L737" s="257">
        <v>1856</v>
      </c>
      <c r="M737" s="257">
        <v>201</v>
      </c>
      <c r="N737" s="257">
        <f t="shared" ref="N737:N741" si="416">L737+M737</f>
        <v>2057</v>
      </c>
    </row>
    <row r="738" spans="1:14" ht="18.75" hidden="1" customHeight="1" x14ac:dyDescent="0.2">
      <c r="A738" s="381" t="s">
        <v>907</v>
      </c>
      <c r="B738" s="271">
        <v>801</v>
      </c>
      <c r="C738" s="252" t="s">
        <v>190</v>
      </c>
      <c r="D738" s="252" t="s">
        <v>207</v>
      </c>
      <c r="E738" s="252" t="s">
        <v>868</v>
      </c>
      <c r="F738" s="252" t="s">
        <v>96</v>
      </c>
      <c r="G738" s="256"/>
      <c r="H738" s="257">
        <v>6632</v>
      </c>
      <c r="I738" s="257">
        <v>-6632</v>
      </c>
      <c r="J738" s="257">
        <f t="shared" si="415"/>
        <v>0</v>
      </c>
      <c r="K738" s="257">
        <v>0</v>
      </c>
      <c r="L738" s="257">
        <f>I738+J738</f>
        <v>-6632</v>
      </c>
      <c r="M738" s="257">
        <v>0</v>
      </c>
      <c r="N738" s="257">
        <f t="shared" si="416"/>
        <v>-6632</v>
      </c>
    </row>
    <row r="739" spans="1:14" ht="18.75" customHeight="1" x14ac:dyDescent="0.2">
      <c r="A739" s="259" t="s">
        <v>93</v>
      </c>
      <c r="B739" s="271">
        <v>801</v>
      </c>
      <c r="C739" s="252" t="s">
        <v>190</v>
      </c>
      <c r="D739" s="252" t="s">
        <v>207</v>
      </c>
      <c r="E739" s="252" t="s">
        <v>868</v>
      </c>
      <c r="F739" s="252" t="s">
        <v>94</v>
      </c>
      <c r="G739" s="256"/>
      <c r="H739" s="257">
        <v>0</v>
      </c>
      <c r="I739" s="257">
        <v>200</v>
      </c>
      <c r="J739" s="257">
        <f t="shared" si="415"/>
        <v>200</v>
      </c>
      <c r="K739" s="257">
        <v>0</v>
      </c>
      <c r="L739" s="257">
        <v>328</v>
      </c>
      <c r="M739" s="257">
        <v>0</v>
      </c>
      <c r="N739" s="257">
        <f t="shared" si="416"/>
        <v>328</v>
      </c>
    </row>
    <row r="740" spans="1:14" ht="18.75" customHeight="1" x14ac:dyDescent="0.2">
      <c r="A740" s="259" t="s">
        <v>103</v>
      </c>
      <c r="B740" s="271">
        <v>801</v>
      </c>
      <c r="C740" s="252" t="s">
        <v>190</v>
      </c>
      <c r="D740" s="252" t="s">
        <v>207</v>
      </c>
      <c r="E740" s="252" t="s">
        <v>868</v>
      </c>
      <c r="F740" s="252" t="s">
        <v>104</v>
      </c>
      <c r="G740" s="256"/>
      <c r="H740" s="257">
        <v>336</v>
      </c>
      <c r="I740" s="257">
        <v>0</v>
      </c>
      <c r="J740" s="257">
        <f t="shared" si="415"/>
        <v>336</v>
      </c>
      <c r="K740" s="257">
        <v>-150</v>
      </c>
      <c r="L740" s="257">
        <v>336</v>
      </c>
      <c r="M740" s="257">
        <v>-336</v>
      </c>
      <c r="N740" s="257">
        <f t="shared" si="416"/>
        <v>0</v>
      </c>
    </row>
    <row r="741" spans="1:14" ht="18.75" customHeight="1" x14ac:dyDescent="0.2">
      <c r="A741" s="259" t="s">
        <v>105</v>
      </c>
      <c r="B741" s="271">
        <v>801</v>
      </c>
      <c r="C741" s="252" t="s">
        <v>190</v>
      </c>
      <c r="D741" s="252" t="s">
        <v>207</v>
      </c>
      <c r="E741" s="252" t="s">
        <v>868</v>
      </c>
      <c r="F741" s="252" t="s">
        <v>106</v>
      </c>
      <c r="G741" s="256"/>
      <c r="H741" s="257">
        <v>224</v>
      </c>
      <c r="I741" s="257">
        <v>-200</v>
      </c>
      <c r="J741" s="257">
        <f t="shared" si="415"/>
        <v>24</v>
      </c>
      <c r="K741" s="257">
        <v>0</v>
      </c>
      <c r="L741" s="257">
        <v>150</v>
      </c>
      <c r="M741" s="257">
        <v>-150</v>
      </c>
      <c r="N741" s="257">
        <f t="shared" si="416"/>
        <v>0</v>
      </c>
    </row>
    <row r="742" spans="1:14" ht="18.75" hidden="1" customHeight="1" x14ac:dyDescent="0.2">
      <c r="A742" s="259" t="s">
        <v>920</v>
      </c>
      <c r="B742" s="271">
        <v>801</v>
      </c>
      <c r="C742" s="252" t="s">
        <v>190</v>
      </c>
      <c r="D742" s="252" t="s">
        <v>207</v>
      </c>
      <c r="E742" s="252" t="s">
        <v>868</v>
      </c>
      <c r="F742" s="252" t="s">
        <v>905</v>
      </c>
      <c r="G742" s="256"/>
      <c r="H742" s="257">
        <v>224</v>
      </c>
      <c r="I742" s="257">
        <v>-200</v>
      </c>
      <c r="J742" s="257">
        <v>0</v>
      </c>
      <c r="K742" s="257">
        <v>150</v>
      </c>
      <c r="L742" s="257">
        <v>0</v>
      </c>
      <c r="M742" s="257"/>
      <c r="N742" s="257">
        <v>0</v>
      </c>
    </row>
    <row r="743" spans="1:14" ht="18.75" customHeight="1" x14ac:dyDescent="0.2">
      <c r="A743" s="259" t="s">
        <v>893</v>
      </c>
      <c r="B743" s="271">
        <v>801</v>
      </c>
      <c r="C743" s="252" t="s">
        <v>190</v>
      </c>
      <c r="D743" s="252" t="s">
        <v>207</v>
      </c>
      <c r="E743" s="252" t="s">
        <v>892</v>
      </c>
      <c r="F743" s="252"/>
      <c r="G743" s="256"/>
      <c r="H743" s="275">
        <f>H744+H745+H746+H747+H749</f>
        <v>2447</v>
      </c>
      <c r="I743" s="275">
        <f>I744+I745+I746+I747+I749</f>
        <v>-1.1368683772161603E-13</v>
      </c>
      <c r="J743" s="275">
        <f>H743+I743</f>
        <v>2447</v>
      </c>
      <c r="K743" s="275">
        <f>K744+K745+K746+K747+K749+K748+K750</f>
        <v>500</v>
      </c>
      <c r="L743" s="275">
        <f>L744+L746+L747+L749+L750</f>
        <v>2410</v>
      </c>
      <c r="M743" s="275">
        <f t="shared" ref="M743:N743" si="417">M744+M746+M747+M749+M750</f>
        <v>-695</v>
      </c>
      <c r="N743" s="275">
        <f t="shared" si="417"/>
        <v>1715</v>
      </c>
    </row>
    <row r="744" spans="1:14" ht="18.75" customHeight="1" x14ac:dyDescent="0.2">
      <c r="A744" s="361" t="s">
        <v>897</v>
      </c>
      <c r="B744" s="271">
        <v>801</v>
      </c>
      <c r="C744" s="252" t="s">
        <v>190</v>
      </c>
      <c r="D744" s="252" t="s">
        <v>207</v>
      </c>
      <c r="E744" s="252" t="s">
        <v>892</v>
      </c>
      <c r="F744" s="252" t="s">
        <v>832</v>
      </c>
      <c r="G744" s="256"/>
      <c r="H744" s="257">
        <v>0</v>
      </c>
      <c r="I744" s="257">
        <v>1034.5999999999999</v>
      </c>
      <c r="J744" s="257">
        <f>H744+I744</f>
        <v>1034.5999999999999</v>
      </c>
      <c r="K744" s="257">
        <v>-0.04</v>
      </c>
      <c r="L744" s="257">
        <v>875</v>
      </c>
      <c r="M744" s="257">
        <v>28</v>
      </c>
      <c r="N744" s="257">
        <f>L744+M744</f>
        <v>903</v>
      </c>
    </row>
    <row r="745" spans="1:14" ht="18.75" hidden="1" customHeight="1" x14ac:dyDescent="0.2">
      <c r="A745" s="381" t="s">
        <v>907</v>
      </c>
      <c r="B745" s="271">
        <v>801</v>
      </c>
      <c r="C745" s="252" t="s">
        <v>190</v>
      </c>
      <c r="D745" s="252" t="s">
        <v>207</v>
      </c>
      <c r="E745" s="252" t="s">
        <v>892</v>
      </c>
      <c r="F745" s="252" t="s">
        <v>96</v>
      </c>
      <c r="G745" s="256"/>
      <c r="H745" s="257">
        <v>1347</v>
      </c>
      <c r="I745" s="257">
        <v>-1347</v>
      </c>
      <c r="J745" s="257">
        <f>H745+I745</f>
        <v>0</v>
      </c>
      <c r="K745" s="257">
        <v>0</v>
      </c>
      <c r="L745" s="257">
        <f>I745+J745</f>
        <v>-1347</v>
      </c>
      <c r="M745" s="257">
        <v>0</v>
      </c>
      <c r="N745" s="257">
        <f t="shared" ref="N745:N750" si="418">L745+M745</f>
        <v>-1347</v>
      </c>
    </row>
    <row r="746" spans="1:14" ht="32.25" customHeight="1" x14ac:dyDescent="0.2">
      <c r="A746" s="361" t="s">
        <v>900</v>
      </c>
      <c r="B746" s="271">
        <v>801</v>
      </c>
      <c r="C746" s="252" t="s">
        <v>190</v>
      </c>
      <c r="D746" s="252" t="s">
        <v>207</v>
      </c>
      <c r="E746" s="252" t="s">
        <v>892</v>
      </c>
      <c r="F746" s="362" t="s">
        <v>899</v>
      </c>
      <c r="G746" s="256"/>
      <c r="H746" s="257">
        <v>0</v>
      </c>
      <c r="I746" s="257">
        <v>312.39999999999998</v>
      </c>
      <c r="J746" s="257">
        <f>H746+I746</f>
        <v>312.39999999999998</v>
      </c>
      <c r="K746" s="257">
        <v>0.04</v>
      </c>
      <c r="L746" s="257">
        <v>265</v>
      </c>
      <c r="M746" s="257">
        <v>8</v>
      </c>
      <c r="N746" s="257">
        <f t="shared" si="418"/>
        <v>273</v>
      </c>
    </row>
    <row r="747" spans="1:14" ht="16.5" customHeight="1" x14ac:dyDescent="0.2">
      <c r="A747" s="259" t="s">
        <v>99</v>
      </c>
      <c r="B747" s="271">
        <v>801</v>
      </c>
      <c r="C747" s="252" t="s">
        <v>190</v>
      </c>
      <c r="D747" s="252" t="s">
        <v>207</v>
      </c>
      <c r="E747" s="252" t="s">
        <v>892</v>
      </c>
      <c r="F747" s="252" t="s">
        <v>100</v>
      </c>
      <c r="G747" s="256"/>
      <c r="H747" s="257">
        <v>196</v>
      </c>
      <c r="I747" s="257">
        <v>0</v>
      </c>
      <c r="J747" s="257">
        <f>H747+I747</f>
        <v>196</v>
      </c>
      <c r="K747" s="257">
        <v>0</v>
      </c>
      <c r="L747" s="257">
        <v>190</v>
      </c>
      <c r="M747" s="257">
        <v>-140</v>
      </c>
      <c r="N747" s="257">
        <f t="shared" si="418"/>
        <v>50</v>
      </c>
    </row>
    <row r="748" spans="1:14" ht="16.5" hidden="1" customHeight="1" x14ac:dyDescent="0.2">
      <c r="A748" s="259" t="s">
        <v>921</v>
      </c>
      <c r="B748" s="271">
        <v>801</v>
      </c>
      <c r="C748" s="252" t="s">
        <v>190</v>
      </c>
      <c r="D748" s="252" t="s">
        <v>207</v>
      </c>
      <c r="E748" s="252" t="s">
        <v>892</v>
      </c>
      <c r="F748" s="252" t="s">
        <v>102</v>
      </c>
      <c r="G748" s="256"/>
      <c r="H748" s="257"/>
      <c r="I748" s="257"/>
      <c r="J748" s="257"/>
      <c r="K748" s="257">
        <v>21.1</v>
      </c>
      <c r="L748" s="257">
        <v>0</v>
      </c>
      <c r="M748" s="257">
        <v>0</v>
      </c>
      <c r="N748" s="257">
        <f t="shared" si="418"/>
        <v>0</v>
      </c>
    </row>
    <row r="749" spans="1:14" ht="16.5" customHeight="1" x14ac:dyDescent="0.2">
      <c r="A749" s="259" t="s">
        <v>93</v>
      </c>
      <c r="B749" s="271">
        <v>801</v>
      </c>
      <c r="C749" s="252" t="s">
        <v>190</v>
      </c>
      <c r="D749" s="252" t="s">
        <v>207</v>
      </c>
      <c r="E749" s="252" t="s">
        <v>892</v>
      </c>
      <c r="F749" s="252" t="s">
        <v>94</v>
      </c>
      <c r="G749" s="256"/>
      <c r="H749" s="257">
        <v>904</v>
      </c>
      <c r="I749" s="257">
        <v>0</v>
      </c>
      <c r="J749" s="257">
        <f>H749+I749</f>
        <v>904</v>
      </c>
      <c r="K749" s="257">
        <v>298.89999999999998</v>
      </c>
      <c r="L749" s="257">
        <v>900</v>
      </c>
      <c r="M749" s="257">
        <v>-411</v>
      </c>
      <c r="N749" s="257">
        <f t="shared" si="418"/>
        <v>489</v>
      </c>
    </row>
    <row r="750" spans="1:14" ht="16.5" customHeight="1" x14ac:dyDescent="0.2">
      <c r="A750" s="259" t="s">
        <v>103</v>
      </c>
      <c r="B750" s="271">
        <v>801</v>
      </c>
      <c r="C750" s="252" t="s">
        <v>190</v>
      </c>
      <c r="D750" s="252" t="s">
        <v>207</v>
      </c>
      <c r="E750" s="252" t="s">
        <v>892</v>
      </c>
      <c r="F750" s="252" t="s">
        <v>104</v>
      </c>
      <c r="G750" s="256"/>
      <c r="H750" s="257">
        <v>904</v>
      </c>
      <c r="I750" s="257">
        <v>0</v>
      </c>
      <c r="J750" s="257">
        <v>0</v>
      </c>
      <c r="K750" s="257">
        <v>180</v>
      </c>
      <c r="L750" s="257">
        <v>180</v>
      </c>
      <c r="M750" s="257">
        <v>-180</v>
      </c>
      <c r="N750" s="257">
        <f t="shared" si="418"/>
        <v>0</v>
      </c>
    </row>
    <row r="751" spans="1:14" ht="28.5" customHeight="1" x14ac:dyDescent="0.2">
      <c r="A751" s="259" t="s">
        <v>998</v>
      </c>
      <c r="B751" s="271">
        <v>801</v>
      </c>
      <c r="C751" s="252" t="s">
        <v>190</v>
      </c>
      <c r="D751" s="252" t="s">
        <v>207</v>
      </c>
      <c r="E751" s="252" t="s">
        <v>746</v>
      </c>
      <c r="F751" s="252"/>
      <c r="G751" s="374">
        <f>G752+G756</f>
        <v>0</v>
      </c>
      <c r="H751" s="257">
        <f t="shared" ref="H751:N751" si="419">H752+H755</f>
        <v>658.5</v>
      </c>
      <c r="I751" s="257">
        <f t="shared" si="419"/>
        <v>0</v>
      </c>
      <c r="J751" s="257">
        <f t="shared" si="419"/>
        <v>658.5</v>
      </c>
      <c r="K751" s="257">
        <f t="shared" si="419"/>
        <v>0</v>
      </c>
      <c r="L751" s="257">
        <f t="shared" si="419"/>
        <v>654.5</v>
      </c>
      <c r="M751" s="257">
        <f t="shared" si="419"/>
        <v>115.9</v>
      </c>
      <c r="N751" s="257">
        <f t="shared" si="419"/>
        <v>770.4</v>
      </c>
    </row>
    <row r="752" spans="1:14" ht="18" customHeight="1" x14ac:dyDescent="0.2">
      <c r="A752" s="259" t="s">
        <v>809</v>
      </c>
      <c r="B752" s="271">
        <v>801</v>
      </c>
      <c r="C752" s="252" t="s">
        <v>190</v>
      </c>
      <c r="D752" s="252" t="s">
        <v>207</v>
      </c>
      <c r="E752" s="252" t="s">
        <v>870</v>
      </c>
      <c r="F752" s="252"/>
      <c r="G752" s="256"/>
      <c r="H752" s="257">
        <f>H753+H754</f>
        <v>535.6</v>
      </c>
      <c r="I752" s="257">
        <f>I753+I754</f>
        <v>0</v>
      </c>
      <c r="J752" s="257">
        <f>H752+I752</f>
        <v>535.6</v>
      </c>
      <c r="K752" s="257">
        <f>K753+K754</f>
        <v>0</v>
      </c>
      <c r="L752" s="257">
        <f>L753+L754</f>
        <v>436.6</v>
      </c>
      <c r="M752" s="257">
        <f t="shared" ref="M752:N752" si="420">M753+M754</f>
        <v>168.8</v>
      </c>
      <c r="N752" s="257">
        <f t="shared" si="420"/>
        <v>605.4</v>
      </c>
    </row>
    <row r="753" spans="1:14" ht="18" customHeight="1" x14ac:dyDescent="0.2">
      <c r="A753" s="381" t="s">
        <v>907</v>
      </c>
      <c r="B753" s="271">
        <v>801</v>
      </c>
      <c r="C753" s="252" t="s">
        <v>190</v>
      </c>
      <c r="D753" s="252" t="s">
        <v>207</v>
      </c>
      <c r="E753" s="252" t="s">
        <v>870</v>
      </c>
      <c r="F753" s="382" t="s">
        <v>96</v>
      </c>
      <c r="G753" s="256"/>
      <c r="H753" s="257">
        <v>535.6</v>
      </c>
      <c r="I753" s="257">
        <v>-34.1</v>
      </c>
      <c r="J753" s="257">
        <f>H753+I753</f>
        <v>501.5</v>
      </c>
      <c r="K753" s="257">
        <v>0.09</v>
      </c>
      <c r="L753" s="257">
        <v>436.6</v>
      </c>
      <c r="M753" s="257">
        <v>65.400000000000006</v>
      </c>
      <c r="N753" s="257">
        <f>L753+M753</f>
        <v>502</v>
      </c>
    </row>
    <row r="754" spans="1:14" ht="29.25" customHeight="1" x14ac:dyDescent="0.2">
      <c r="A754" s="361" t="s">
        <v>898</v>
      </c>
      <c r="B754" s="271">
        <v>801</v>
      </c>
      <c r="C754" s="252" t="s">
        <v>190</v>
      </c>
      <c r="D754" s="252" t="s">
        <v>207</v>
      </c>
      <c r="E754" s="252" t="s">
        <v>870</v>
      </c>
      <c r="F754" s="252" t="s">
        <v>896</v>
      </c>
      <c r="G754" s="256"/>
      <c r="H754" s="257">
        <v>0</v>
      </c>
      <c r="I754" s="257">
        <v>34.1</v>
      </c>
      <c r="J754" s="257">
        <f>H754+I754</f>
        <v>34.1</v>
      </c>
      <c r="K754" s="257">
        <v>-0.09</v>
      </c>
      <c r="L754" s="257">
        <v>0</v>
      </c>
      <c r="M754" s="257">
        <v>103.4</v>
      </c>
      <c r="N754" s="257">
        <f>L754+M754</f>
        <v>103.4</v>
      </c>
    </row>
    <row r="755" spans="1:14" ht="19.5" customHeight="1" x14ac:dyDescent="0.2">
      <c r="A755" s="390" t="s">
        <v>809</v>
      </c>
      <c r="B755" s="271">
        <v>801</v>
      </c>
      <c r="C755" s="252" t="s">
        <v>190</v>
      </c>
      <c r="D755" s="252" t="s">
        <v>207</v>
      </c>
      <c r="E755" s="252" t="s">
        <v>872</v>
      </c>
      <c r="F755" s="252"/>
      <c r="G755" s="256"/>
      <c r="H755" s="257">
        <f>H756+H758</f>
        <v>122.9</v>
      </c>
      <c r="I755" s="257">
        <f>I756+I758</f>
        <v>0</v>
      </c>
      <c r="J755" s="257">
        <f>J756+J758</f>
        <v>122.9</v>
      </c>
      <c r="K755" s="257">
        <f>K756+K758</f>
        <v>0</v>
      </c>
      <c r="L755" s="257">
        <f>L756+L758+L757+L759</f>
        <v>217.9</v>
      </c>
      <c r="M755" s="257">
        <f>M756+M758+M757+M759</f>
        <v>-52.900000000000006</v>
      </c>
      <c r="N755" s="257">
        <f t="shared" ref="N755" si="421">N756+N758+N757+N759</f>
        <v>165</v>
      </c>
    </row>
    <row r="756" spans="1:14" ht="20.25" customHeight="1" x14ac:dyDescent="0.2">
      <c r="A756" s="381" t="s">
        <v>907</v>
      </c>
      <c r="B756" s="271">
        <v>801</v>
      </c>
      <c r="C756" s="252" t="s">
        <v>190</v>
      </c>
      <c r="D756" s="252" t="s">
        <v>207</v>
      </c>
      <c r="E756" s="252" t="s">
        <v>872</v>
      </c>
      <c r="F756" s="252" t="s">
        <v>96</v>
      </c>
      <c r="G756" s="256"/>
      <c r="H756" s="257">
        <v>122.9</v>
      </c>
      <c r="I756" s="257">
        <v>-122.9</v>
      </c>
      <c r="J756" s="257">
        <f t="shared" ref="J756:J766" si="422">H756+I756</f>
        <v>0</v>
      </c>
      <c r="K756" s="257">
        <v>0</v>
      </c>
      <c r="L756" s="257">
        <v>0</v>
      </c>
      <c r="M756" s="257">
        <f>49.8+56.6</f>
        <v>106.4</v>
      </c>
      <c r="N756" s="257">
        <f>L756+M756</f>
        <v>106.4</v>
      </c>
    </row>
    <row r="757" spans="1:14" ht="20.25" customHeight="1" x14ac:dyDescent="0.2">
      <c r="A757" s="259" t="s">
        <v>97</v>
      </c>
      <c r="B757" s="271">
        <v>801</v>
      </c>
      <c r="C757" s="252" t="s">
        <v>190</v>
      </c>
      <c r="D757" s="252" t="s">
        <v>207</v>
      </c>
      <c r="E757" s="252" t="s">
        <v>872</v>
      </c>
      <c r="F757" s="252" t="s">
        <v>98</v>
      </c>
      <c r="G757" s="256"/>
      <c r="H757" s="257"/>
      <c r="I757" s="257"/>
      <c r="J757" s="257"/>
      <c r="K757" s="257"/>
      <c r="L757" s="257">
        <v>0</v>
      </c>
      <c r="M757" s="257"/>
      <c r="N757" s="257">
        <f t="shared" ref="N757:N759" si="423">L757+M757</f>
        <v>0</v>
      </c>
    </row>
    <row r="758" spans="1:14" ht="35.25" customHeight="1" x14ac:dyDescent="0.2">
      <c r="A758" s="361" t="s">
        <v>898</v>
      </c>
      <c r="B758" s="271">
        <v>801</v>
      </c>
      <c r="C758" s="252" t="s">
        <v>190</v>
      </c>
      <c r="D758" s="252" t="s">
        <v>207</v>
      </c>
      <c r="E758" s="252" t="s">
        <v>872</v>
      </c>
      <c r="F758" s="252" t="s">
        <v>896</v>
      </c>
      <c r="G758" s="256"/>
      <c r="H758" s="257">
        <v>0</v>
      </c>
      <c r="I758" s="257">
        <v>122.9</v>
      </c>
      <c r="J758" s="257">
        <f t="shared" si="422"/>
        <v>122.9</v>
      </c>
      <c r="K758" s="257">
        <v>0</v>
      </c>
      <c r="L758" s="257">
        <v>217.9</v>
      </c>
      <c r="M758" s="257">
        <v>-169.3</v>
      </c>
      <c r="N758" s="257">
        <f t="shared" si="423"/>
        <v>48.599999999999994</v>
      </c>
    </row>
    <row r="759" spans="1:14" ht="28.5" customHeight="1" x14ac:dyDescent="0.2">
      <c r="A759" s="259" t="s">
        <v>93</v>
      </c>
      <c r="B759" s="271">
        <v>801</v>
      </c>
      <c r="C759" s="252" t="s">
        <v>190</v>
      </c>
      <c r="D759" s="252" t="s">
        <v>207</v>
      </c>
      <c r="E759" s="252" t="s">
        <v>872</v>
      </c>
      <c r="F759" s="252" t="s">
        <v>94</v>
      </c>
      <c r="G759" s="256"/>
      <c r="H759" s="257"/>
      <c r="I759" s="257"/>
      <c r="J759" s="257"/>
      <c r="K759" s="257"/>
      <c r="L759" s="257">
        <v>0</v>
      </c>
      <c r="M759" s="257">
        <v>10</v>
      </c>
      <c r="N759" s="257">
        <f t="shared" si="423"/>
        <v>10</v>
      </c>
    </row>
    <row r="760" spans="1:14" ht="31.5" customHeight="1" x14ac:dyDescent="0.2">
      <c r="A760" s="259" t="s">
        <v>808</v>
      </c>
      <c r="B760" s="271">
        <v>801</v>
      </c>
      <c r="C760" s="252" t="s">
        <v>190</v>
      </c>
      <c r="D760" s="252" t="s">
        <v>207</v>
      </c>
      <c r="E760" s="252" t="s">
        <v>807</v>
      </c>
      <c r="F760" s="252"/>
      <c r="G760" s="256"/>
      <c r="H760" s="257">
        <f>H761</f>
        <v>41.2</v>
      </c>
      <c r="I760" s="257">
        <f>I761</f>
        <v>0</v>
      </c>
      <c r="J760" s="257">
        <f t="shared" si="422"/>
        <v>41.2</v>
      </c>
      <c r="K760" s="257">
        <f>K761</f>
        <v>0</v>
      </c>
      <c r="L760" s="257">
        <f>L761</f>
        <v>41</v>
      </c>
      <c r="M760" s="257">
        <f t="shared" ref="M760:N760" si="424">M761</f>
        <v>0.3</v>
      </c>
      <c r="N760" s="257">
        <f t="shared" si="424"/>
        <v>41.3</v>
      </c>
    </row>
    <row r="761" spans="1:14" ht="31.5" customHeight="1" x14ac:dyDescent="0.2">
      <c r="A761" s="259" t="s">
        <v>513</v>
      </c>
      <c r="B761" s="271">
        <v>801</v>
      </c>
      <c r="C761" s="252" t="s">
        <v>190</v>
      </c>
      <c r="D761" s="252" t="s">
        <v>207</v>
      </c>
      <c r="E761" s="252" t="s">
        <v>807</v>
      </c>
      <c r="F761" s="252" t="s">
        <v>94</v>
      </c>
      <c r="G761" s="256"/>
      <c r="H761" s="257">
        <v>41.2</v>
      </c>
      <c r="I761" s="257">
        <v>0</v>
      </c>
      <c r="J761" s="257">
        <f t="shared" si="422"/>
        <v>41.2</v>
      </c>
      <c r="K761" s="257">
        <v>0</v>
      </c>
      <c r="L761" s="257">
        <v>41</v>
      </c>
      <c r="M761" s="257">
        <v>0.3</v>
      </c>
      <c r="N761" s="257">
        <f>L761+M761</f>
        <v>41.3</v>
      </c>
    </row>
    <row r="762" spans="1:14" ht="45" customHeight="1" x14ac:dyDescent="0.2">
      <c r="A762" s="259" t="s">
        <v>806</v>
      </c>
      <c r="B762" s="271">
        <v>801</v>
      </c>
      <c r="C762" s="252" t="s">
        <v>190</v>
      </c>
      <c r="D762" s="252" t="s">
        <v>207</v>
      </c>
      <c r="E762" s="252" t="s">
        <v>805</v>
      </c>
      <c r="F762" s="252"/>
      <c r="G762" s="256"/>
      <c r="H762" s="257">
        <f t="shared" ref="H762:N762" si="425">H763</f>
        <v>182.7</v>
      </c>
      <c r="I762" s="257">
        <f t="shared" si="425"/>
        <v>0</v>
      </c>
      <c r="J762" s="257">
        <f t="shared" si="425"/>
        <v>182.7</v>
      </c>
      <c r="K762" s="257">
        <f t="shared" si="425"/>
        <v>0</v>
      </c>
      <c r="L762" s="257">
        <f t="shared" si="425"/>
        <v>182.6</v>
      </c>
      <c r="M762" s="257">
        <f t="shared" si="425"/>
        <v>0</v>
      </c>
      <c r="N762" s="257">
        <f t="shared" si="425"/>
        <v>182.6</v>
      </c>
    </row>
    <row r="763" spans="1:14" ht="18.75" customHeight="1" x14ac:dyDescent="0.2">
      <c r="A763" s="259" t="s">
        <v>908</v>
      </c>
      <c r="B763" s="271">
        <v>801</v>
      </c>
      <c r="C763" s="252" t="s">
        <v>190</v>
      </c>
      <c r="D763" s="252" t="s">
        <v>207</v>
      </c>
      <c r="E763" s="252" t="s">
        <v>805</v>
      </c>
      <c r="F763" s="252"/>
      <c r="G763" s="256"/>
      <c r="H763" s="257">
        <f>H764+H765+H766</f>
        <v>182.7</v>
      </c>
      <c r="I763" s="257">
        <f>I764+I765+I766</f>
        <v>0</v>
      </c>
      <c r="J763" s="257">
        <f t="shared" si="422"/>
        <v>182.7</v>
      </c>
      <c r="K763" s="257">
        <f>K764+K765+K766</f>
        <v>0</v>
      </c>
      <c r="L763" s="257">
        <f>L764+L765</f>
        <v>182.6</v>
      </c>
      <c r="M763" s="257">
        <f t="shared" ref="M763:N763" si="426">M764+M765</f>
        <v>0</v>
      </c>
      <c r="N763" s="257">
        <f t="shared" si="426"/>
        <v>182.6</v>
      </c>
    </row>
    <row r="764" spans="1:14" ht="18.75" customHeight="1" x14ac:dyDescent="0.2">
      <c r="A764" s="381" t="s">
        <v>907</v>
      </c>
      <c r="B764" s="271">
        <v>801</v>
      </c>
      <c r="C764" s="252" t="s">
        <v>190</v>
      </c>
      <c r="D764" s="252" t="s">
        <v>207</v>
      </c>
      <c r="E764" s="252" t="s">
        <v>805</v>
      </c>
      <c r="F764" s="252" t="s">
        <v>96</v>
      </c>
      <c r="G764" s="256"/>
      <c r="H764" s="257">
        <v>0</v>
      </c>
      <c r="I764" s="257">
        <v>172.2</v>
      </c>
      <c r="J764" s="257">
        <f t="shared" si="422"/>
        <v>172.2</v>
      </c>
      <c r="K764" s="257">
        <v>0</v>
      </c>
      <c r="L764" s="257">
        <v>172.2</v>
      </c>
      <c r="M764" s="257">
        <v>0</v>
      </c>
      <c r="N764" s="257">
        <f>L764+M764</f>
        <v>172.2</v>
      </c>
    </row>
    <row r="765" spans="1:14" ht="32.25" customHeight="1" x14ac:dyDescent="0.2">
      <c r="A765" s="361" t="s">
        <v>898</v>
      </c>
      <c r="B765" s="271">
        <v>801</v>
      </c>
      <c r="C765" s="252" t="s">
        <v>190</v>
      </c>
      <c r="D765" s="252" t="s">
        <v>207</v>
      </c>
      <c r="E765" s="252" t="s">
        <v>805</v>
      </c>
      <c r="F765" s="252" t="s">
        <v>896</v>
      </c>
      <c r="G765" s="256"/>
      <c r="H765" s="257">
        <v>0</v>
      </c>
      <c r="I765" s="257">
        <v>10.5</v>
      </c>
      <c r="J765" s="257">
        <f t="shared" si="422"/>
        <v>10.5</v>
      </c>
      <c r="K765" s="257">
        <v>0</v>
      </c>
      <c r="L765" s="257">
        <v>10.4</v>
      </c>
      <c r="M765" s="257">
        <v>0</v>
      </c>
      <c r="N765" s="257">
        <f>L765+M765</f>
        <v>10.4</v>
      </c>
    </row>
    <row r="766" spans="1:14" ht="28.5" hidden="1" customHeight="1" x14ac:dyDescent="0.2">
      <c r="A766" s="259" t="s">
        <v>93</v>
      </c>
      <c r="B766" s="271">
        <v>801</v>
      </c>
      <c r="C766" s="252" t="s">
        <v>190</v>
      </c>
      <c r="D766" s="252" t="s">
        <v>207</v>
      </c>
      <c r="E766" s="252" t="s">
        <v>805</v>
      </c>
      <c r="F766" s="252" t="s">
        <v>94</v>
      </c>
      <c r="G766" s="256"/>
      <c r="H766" s="257">
        <v>182.7</v>
      </c>
      <c r="I766" s="257">
        <v>-182.7</v>
      </c>
      <c r="J766" s="257">
        <f t="shared" si="422"/>
        <v>0</v>
      </c>
      <c r="K766" s="257">
        <v>0</v>
      </c>
      <c r="L766" s="257">
        <f>I766+J766</f>
        <v>-182.7</v>
      </c>
      <c r="M766" s="257"/>
      <c r="N766" s="257">
        <f>J766+K766</f>
        <v>0</v>
      </c>
    </row>
    <row r="767" spans="1:14" s="19" customFormat="1" ht="18.75" customHeight="1" x14ac:dyDescent="0.2">
      <c r="A767" s="398" t="s">
        <v>236</v>
      </c>
      <c r="B767" s="249">
        <v>801</v>
      </c>
      <c r="C767" s="250" t="s">
        <v>194</v>
      </c>
      <c r="D767" s="250"/>
      <c r="E767" s="250"/>
      <c r="F767" s="250"/>
      <c r="G767" s="275">
        <f t="shared" ref="G767:K767" si="427">G774+G810</f>
        <v>0</v>
      </c>
      <c r="H767" s="275">
        <f t="shared" si="427"/>
        <v>3144</v>
      </c>
      <c r="I767" s="275">
        <f t="shared" si="427"/>
        <v>-22</v>
      </c>
      <c r="J767" s="275">
        <f t="shared" si="427"/>
        <v>3122</v>
      </c>
      <c r="K767" s="275">
        <f t="shared" si="427"/>
        <v>-103</v>
      </c>
      <c r="L767" s="275">
        <f>L774+L810</f>
        <v>3413.22</v>
      </c>
      <c r="M767" s="275">
        <f t="shared" ref="M767:N767" si="428">M774+M810</f>
        <v>207.78</v>
      </c>
      <c r="N767" s="275">
        <f t="shared" si="428"/>
        <v>3621</v>
      </c>
    </row>
    <row r="768" spans="1:14" ht="12.75" hidden="1" customHeight="1" x14ac:dyDescent="0.2">
      <c r="A768" s="398" t="s">
        <v>211</v>
      </c>
      <c r="B768" s="249">
        <v>801</v>
      </c>
      <c r="C768" s="250" t="s">
        <v>194</v>
      </c>
      <c r="D768" s="250" t="s">
        <v>192</v>
      </c>
      <c r="E768" s="250"/>
      <c r="F768" s="250"/>
      <c r="G768" s="256"/>
      <c r="H768" s="256"/>
      <c r="I768" s="257" t="e">
        <f t="shared" ref="I768:N770" si="429">I769</f>
        <v>#REF!</v>
      </c>
      <c r="J768" s="257" t="e">
        <f t="shared" si="429"/>
        <v>#REF!</v>
      </c>
      <c r="K768" s="257" t="e">
        <f t="shared" si="429"/>
        <v>#REF!</v>
      </c>
      <c r="L768" s="257" t="e">
        <f t="shared" si="429"/>
        <v>#REF!</v>
      </c>
      <c r="M768" s="257" t="e">
        <f t="shared" si="429"/>
        <v>#REF!</v>
      </c>
      <c r="N768" s="257" t="e">
        <f t="shared" si="429"/>
        <v>#REF!</v>
      </c>
    </row>
    <row r="769" spans="1:14" ht="12.75" hidden="1" customHeight="1" x14ac:dyDescent="0.2">
      <c r="A769" s="259" t="s">
        <v>61</v>
      </c>
      <c r="B769" s="271">
        <v>801</v>
      </c>
      <c r="C769" s="252" t="s">
        <v>194</v>
      </c>
      <c r="D769" s="252" t="s">
        <v>192</v>
      </c>
      <c r="E769" s="252" t="s">
        <v>62</v>
      </c>
      <c r="F769" s="252"/>
      <c r="G769" s="256"/>
      <c r="H769" s="256"/>
      <c r="I769" s="257" t="e">
        <f>I770+I772</f>
        <v>#REF!</v>
      </c>
      <c r="J769" s="257" t="e">
        <f>J770+J772</f>
        <v>#REF!</v>
      </c>
      <c r="K769" s="257" t="e">
        <f>K770+K772</f>
        <v>#REF!</v>
      </c>
      <c r="L769" s="257" t="e">
        <f>L770+L772</f>
        <v>#REF!</v>
      </c>
      <c r="M769" s="257" t="e">
        <f t="shared" ref="M769:N769" si="430">M770+M772</f>
        <v>#REF!</v>
      </c>
      <c r="N769" s="257" t="e">
        <f t="shared" si="430"/>
        <v>#REF!</v>
      </c>
    </row>
    <row r="770" spans="1:14" ht="25.5" hidden="1" customHeight="1" x14ac:dyDescent="0.2">
      <c r="A770" s="259" t="s">
        <v>183</v>
      </c>
      <c r="B770" s="271">
        <v>801</v>
      </c>
      <c r="C770" s="252" t="s">
        <v>194</v>
      </c>
      <c r="D770" s="252" t="s">
        <v>192</v>
      </c>
      <c r="E770" s="252" t="s">
        <v>182</v>
      </c>
      <c r="F770" s="252"/>
      <c r="G770" s="256"/>
      <c r="H770" s="256"/>
      <c r="I770" s="257" t="e">
        <f t="shared" si="429"/>
        <v>#REF!</v>
      </c>
      <c r="J770" s="257" t="e">
        <f t="shared" si="429"/>
        <v>#REF!</v>
      </c>
      <c r="K770" s="257" t="e">
        <f t="shared" si="429"/>
        <v>#REF!</v>
      </c>
      <c r="L770" s="257" t="e">
        <f t="shared" si="429"/>
        <v>#REF!</v>
      </c>
      <c r="M770" s="257" t="e">
        <f t="shared" si="429"/>
        <v>#REF!</v>
      </c>
      <c r="N770" s="257" t="e">
        <f t="shared" si="429"/>
        <v>#REF!</v>
      </c>
    </row>
    <row r="771" spans="1:14" ht="12.75" hidden="1" customHeight="1" x14ac:dyDescent="0.2">
      <c r="A771" s="259" t="s">
        <v>63</v>
      </c>
      <c r="B771" s="271">
        <v>801</v>
      </c>
      <c r="C771" s="252" t="s">
        <v>194</v>
      </c>
      <c r="D771" s="252" t="s">
        <v>192</v>
      </c>
      <c r="E771" s="252" t="s">
        <v>182</v>
      </c>
      <c r="F771" s="252" t="s">
        <v>64</v>
      </c>
      <c r="G771" s="256"/>
      <c r="H771" s="256"/>
      <c r="I771" s="257" t="e">
        <f>#REF!+G771</f>
        <v>#REF!</v>
      </c>
      <c r="J771" s="257" t="e">
        <f>G771+I771</f>
        <v>#REF!</v>
      </c>
      <c r="K771" s="257" t="e">
        <f>H771+I771</f>
        <v>#REF!</v>
      </c>
      <c r="L771" s="257" t="e">
        <f>H771+J771</f>
        <v>#REF!</v>
      </c>
      <c r="M771" s="257" t="e">
        <f t="shared" ref="M771:N771" si="431">I771+K771</f>
        <v>#REF!</v>
      </c>
      <c r="N771" s="257" t="e">
        <f t="shared" si="431"/>
        <v>#REF!</v>
      </c>
    </row>
    <row r="772" spans="1:14" ht="25.5" hidden="1" customHeight="1" x14ac:dyDescent="0.2">
      <c r="A772" s="259" t="s">
        <v>185</v>
      </c>
      <c r="B772" s="271">
        <v>801</v>
      </c>
      <c r="C772" s="252" t="s">
        <v>194</v>
      </c>
      <c r="D772" s="252" t="s">
        <v>192</v>
      </c>
      <c r="E772" s="252" t="s">
        <v>184</v>
      </c>
      <c r="F772" s="252"/>
      <c r="G772" s="256"/>
      <c r="H772" s="256"/>
      <c r="I772" s="257" t="e">
        <f>I773</f>
        <v>#REF!</v>
      </c>
      <c r="J772" s="257" t="e">
        <f>J773</f>
        <v>#REF!</v>
      </c>
      <c r="K772" s="257" t="e">
        <f>K773</f>
        <v>#REF!</v>
      </c>
      <c r="L772" s="257" t="e">
        <f>L773</f>
        <v>#REF!</v>
      </c>
      <c r="M772" s="257" t="e">
        <f t="shared" ref="M772:N772" si="432">M773</f>
        <v>#REF!</v>
      </c>
      <c r="N772" s="257" t="e">
        <f t="shared" si="432"/>
        <v>#REF!</v>
      </c>
    </row>
    <row r="773" spans="1:14" ht="12.75" hidden="1" customHeight="1" x14ac:dyDescent="0.2">
      <c r="A773" s="259" t="s">
        <v>63</v>
      </c>
      <c r="B773" s="271">
        <v>801</v>
      </c>
      <c r="C773" s="252" t="s">
        <v>194</v>
      </c>
      <c r="D773" s="252" t="s">
        <v>192</v>
      </c>
      <c r="E773" s="252" t="s">
        <v>184</v>
      </c>
      <c r="F773" s="252" t="s">
        <v>64</v>
      </c>
      <c r="G773" s="256"/>
      <c r="H773" s="256"/>
      <c r="I773" s="257" t="e">
        <f>#REF!+G773</f>
        <v>#REF!</v>
      </c>
      <c r="J773" s="257" t="e">
        <f>G773+I773</f>
        <v>#REF!</v>
      </c>
      <c r="K773" s="257" t="e">
        <f>H773+I773</f>
        <v>#REF!</v>
      </c>
      <c r="L773" s="257" t="e">
        <f>H773+J773</f>
        <v>#REF!</v>
      </c>
      <c r="M773" s="257" t="e">
        <f t="shared" ref="M773:N773" si="433">I773+K773</f>
        <v>#REF!</v>
      </c>
      <c r="N773" s="257" t="e">
        <f t="shared" si="433"/>
        <v>#REF!</v>
      </c>
    </row>
    <row r="774" spans="1:14" s="19" customFormat="1" ht="30" customHeight="1" x14ac:dyDescent="0.2">
      <c r="A774" s="398" t="s">
        <v>255</v>
      </c>
      <c r="B774" s="249">
        <v>801</v>
      </c>
      <c r="C774" s="250" t="s">
        <v>194</v>
      </c>
      <c r="D774" s="250" t="s">
        <v>212</v>
      </c>
      <c r="E774" s="250"/>
      <c r="F774" s="250"/>
      <c r="G774" s="275">
        <f>G775+G791+G793+G798+G803</f>
        <v>0</v>
      </c>
      <c r="H774" s="275">
        <f>H793+H798+H803+H797</f>
        <v>3126</v>
      </c>
      <c r="I774" s="275">
        <f>I793+I798+I803+I797</f>
        <v>-22</v>
      </c>
      <c r="J774" s="275">
        <f>J793+J798+J803+J797</f>
        <v>3104</v>
      </c>
      <c r="K774" s="275">
        <f>K793+K798+K803+K797+K800</f>
        <v>-103</v>
      </c>
      <c r="L774" s="275">
        <f>L793+L798+L803+L797+L800</f>
        <v>3391</v>
      </c>
      <c r="M774" s="275">
        <f t="shared" ref="M774" si="434">M793+M798+M803+M797+M800</f>
        <v>230</v>
      </c>
      <c r="N774" s="275">
        <f>N793+N798+N803+N797+N800</f>
        <v>3621</v>
      </c>
    </row>
    <row r="775" spans="1:14" ht="36.75" hidden="1" customHeight="1" x14ac:dyDescent="0.2">
      <c r="A775" s="259" t="s">
        <v>981</v>
      </c>
      <c r="B775" s="271">
        <v>801</v>
      </c>
      <c r="C775" s="252" t="s">
        <v>194</v>
      </c>
      <c r="D775" s="252" t="s">
        <v>212</v>
      </c>
      <c r="E775" s="252" t="s">
        <v>488</v>
      </c>
      <c r="F775" s="252"/>
      <c r="G775" s="256"/>
      <c r="H775" s="256"/>
      <c r="I775" s="257">
        <f>I776+I777+I778</f>
        <v>-120</v>
      </c>
      <c r="J775" s="257" t="e">
        <f>J776+J777+J778</f>
        <v>#REF!</v>
      </c>
      <c r="K775" s="257">
        <f>K776+K777+K778</f>
        <v>-120</v>
      </c>
      <c r="L775" s="257" t="e">
        <f>L776+L777+L778</f>
        <v>#REF!</v>
      </c>
      <c r="M775" s="257" t="e">
        <f t="shared" ref="M775:N775" si="435">M776+M777+M778</f>
        <v>#REF!</v>
      </c>
      <c r="N775" s="257" t="e">
        <f t="shared" si="435"/>
        <v>#REF!</v>
      </c>
    </row>
    <row r="776" spans="1:14" ht="27" hidden="1" customHeight="1" x14ac:dyDescent="0.2">
      <c r="A776" s="259" t="s">
        <v>513</v>
      </c>
      <c r="B776" s="271">
        <v>801</v>
      </c>
      <c r="C776" s="252" t="s">
        <v>194</v>
      </c>
      <c r="D776" s="252" t="s">
        <v>212</v>
      </c>
      <c r="E776" s="252" t="s">
        <v>524</v>
      </c>
      <c r="F776" s="252" t="s">
        <v>94</v>
      </c>
      <c r="G776" s="256"/>
      <c r="H776" s="256"/>
      <c r="I776" s="257">
        <v>-10</v>
      </c>
      <c r="J776" s="257" t="e">
        <f>#REF!+I776</f>
        <v>#REF!</v>
      </c>
      <c r="K776" s="257">
        <v>-10</v>
      </c>
      <c r="L776" s="257" t="e">
        <f>#REF!+J776</f>
        <v>#REF!</v>
      </c>
      <c r="M776" s="257" t="e">
        <f>#REF!+K776</f>
        <v>#REF!</v>
      </c>
      <c r="N776" s="257" t="e">
        <f>#REF!+L776</f>
        <v>#REF!</v>
      </c>
    </row>
    <row r="777" spans="1:14" ht="27.75" hidden="1" customHeight="1" x14ac:dyDescent="0.2">
      <c r="A777" s="259" t="s">
        <v>737</v>
      </c>
      <c r="B777" s="271">
        <v>801</v>
      </c>
      <c r="C777" s="252" t="s">
        <v>194</v>
      </c>
      <c r="D777" s="252" t="s">
        <v>212</v>
      </c>
      <c r="E777" s="252" t="s">
        <v>525</v>
      </c>
      <c r="F777" s="252" t="s">
        <v>94</v>
      </c>
      <c r="G777" s="256"/>
      <c r="H777" s="256"/>
      <c r="I777" s="257">
        <v>-10</v>
      </c>
      <c r="J777" s="257" t="e">
        <f>#REF!+I777</f>
        <v>#REF!</v>
      </c>
      <c r="K777" s="257">
        <v>-10</v>
      </c>
      <c r="L777" s="257" t="e">
        <f>#REF!+J777</f>
        <v>#REF!</v>
      </c>
      <c r="M777" s="257" t="e">
        <f>#REF!+K777</f>
        <v>#REF!</v>
      </c>
      <c r="N777" s="257" t="e">
        <f>#REF!+L777</f>
        <v>#REF!</v>
      </c>
    </row>
    <row r="778" spans="1:14" ht="15" hidden="1" x14ac:dyDescent="0.2">
      <c r="A778" s="259" t="s">
        <v>514</v>
      </c>
      <c r="B778" s="271">
        <v>801</v>
      </c>
      <c r="C778" s="252" t="s">
        <v>194</v>
      </c>
      <c r="D778" s="252" t="s">
        <v>212</v>
      </c>
      <c r="E778" s="252" t="s">
        <v>528</v>
      </c>
      <c r="F778" s="252" t="s">
        <v>94</v>
      </c>
      <c r="G778" s="256"/>
      <c r="H778" s="256"/>
      <c r="I778" s="257">
        <v>-100</v>
      </c>
      <c r="J778" s="257" t="e">
        <f>#REF!+I778</f>
        <v>#REF!</v>
      </c>
      <c r="K778" s="257">
        <v>-100</v>
      </c>
      <c r="L778" s="257" t="e">
        <f>#REF!+J778</f>
        <v>#REF!</v>
      </c>
      <c r="M778" s="257" t="e">
        <f>#REF!+K778</f>
        <v>#REF!</v>
      </c>
      <c r="N778" s="257" t="e">
        <f>#REF!+L778</f>
        <v>#REF!</v>
      </c>
    </row>
    <row r="779" spans="1:14" ht="15" hidden="1" x14ac:dyDescent="0.2">
      <c r="A779" s="259" t="s">
        <v>404</v>
      </c>
      <c r="B779" s="271">
        <v>801</v>
      </c>
      <c r="C779" s="252" t="s">
        <v>194</v>
      </c>
      <c r="D779" s="252" t="s">
        <v>212</v>
      </c>
      <c r="E779" s="252" t="s">
        <v>62</v>
      </c>
      <c r="F779" s="252"/>
      <c r="G779" s="256"/>
      <c r="H779" s="256"/>
      <c r="I779" s="257">
        <f>I780+I783+I787+I789+I785</f>
        <v>-120</v>
      </c>
      <c r="J779" s="257">
        <f>J780+J783+J787+J789+J785</f>
        <v>-120</v>
      </c>
      <c r="K779" s="257">
        <f>K780+K783+K787+K789+K785</f>
        <v>-120</v>
      </c>
      <c r="L779" s="257">
        <f>L780+L783+L787+L789+L785</f>
        <v>-120</v>
      </c>
      <c r="M779" s="257">
        <f t="shared" ref="M779:N779" si="436">M780+M783+M787+M789+M785</f>
        <v>-240</v>
      </c>
      <c r="N779" s="257">
        <f t="shared" si="436"/>
        <v>-240</v>
      </c>
    </row>
    <row r="780" spans="1:14" ht="45" hidden="1" x14ac:dyDescent="0.2">
      <c r="A780" s="259" t="s">
        <v>376</v>
      </c>
      <c r="B780" s="249">
        <v>801</v>
      </c>
      <c r="C780" s="252" t="s">
        <v>194</v>
      </c>
      <c r="D780" s="252" t="s">
        <v>212</v>
      </c>
      <c r="E780" s="252" t="s">
        <v>177</v>
      </c>
      <c r="F780" s="252"/>
      <c r="G780" s="256"/>
      <c r="H780" s="256"/>
      <c r="I780" s="257"/>
      <c r="J780" s="257">
        <f>J782+J781</f>
        <v>0</v>
      </c>
      <c r="K780" s="257"/>
      <c r="L780" s="257">
        <f>L782+L781</f>
        <v>0</v>
      </c>
      <c r="M780" s="257">
        <f t="shared" ref="M780:N780" si="437">M782+M781</f>
        <v>0</v>
      </c>
      <c r="N780" s="257">
        <f t="shared" si="437"/>
        <v>0</v>
      </c>
    </row>
    <row r="781" spans="1:14" ht="15" hidden="1" x14ac:dyDescent="0.2">
      <c r="A781" s="259" t="s">
        <v>93</v>
      </c>
      <c r="B781" s="271">
        <v>801</v>
      </c>
      <c r="C781" s="252" t="s">
        <v>194</v>
      </c>
      <c r="D781" s="252" t="s">
        <v>212</v>
      </c>
      <c r="E781" s="252" t="s">
        <v>177</v>
      </c>
      <c r="F781" s="252" t="s">
        <v>94</v>
      </c>
      <c r="G781" s="256"/>
      <c r="H781" s="256"/>
      <c r="I781" s="257"/>
      <c r="J781" s="257">
        <f>G781+I781</f>
        <v>0</v>
      </c>
      <c r="K781" s="257"/>
      <c r="L781" s="257">
        <f>H781+J781</f>
        <v>0</v>
      </c>
      <c r="M781" s="257">
        <f t="shared" ref="M781:N782" si="438">I781+K781</f>
        <v>0</v>
      </c>
      <c r="N781" s="257">
        <f t="shared" si="438"/>
        <v>0</v>
      </c>
    </row>
    <row r="782" spans="1:14" ht="12.75" hidden="1" customHeight="1" x14ac:dyDescent="0.2">
      <c r="A782" s="259" t="s">
        <v>93</v>
      </c>
      <c r="B782" s="271">
        <v>801</v>
      </c>
      <c r="C782" s="252" t="s">
        <v>194</v>
      </c>
      <c r="D782" s="252" t="s">
        <v>212</v>
      </c>
      <c r="E782" s="252" t="s">
        <v>177</v>
      </c>
      <c r="F782" s="252" t="s">
        <v>64</v>
      </c>
      <c r="G782" s="256"/>
      <c r="H782" s="256"/>
      <c r="I782" s="257"/>
      <c r="J782" s="257">
        <f>G782+I782</f>
        <v>0</v>
      </c>
      <c r="K782" s="257"/>
      <c r="L782" s="257">
        <f>H782+J782</f>
        <v>0</v>
      </c>
      <c r="M782" s="257">
        <f t="shared" si="438"/>
        <v>0</v>
      </c>
      <c r="N782" s="257">
        <f t="shared" si="438"/>
        <v>0</v>
      </c>
    </row>
    <row r="783" spans="1:14" ht="38.25" hidden="1" customHeight="1" x14ac:dyDescent="0.2">
      <c r="A783" s="259" t="s">
        <v>377</v>
      </c>
      <c r="B783" s="271">
        <v>801</v>
      </c>
      <c r="C783" s="252" t="s">
        <v>194</v>
      </c>
      <c r="D783" s="252" t="s">
        <v>212</v>
      </c>
      <c r="E783" s="252" t="s">
        <v>133</v>
      </c>
      <c r="F783" s="252"/>
      <c r="G783" s="256"/>
      <c r="H783" s="256"/>
      <c r="I783" s="257"/>
      <c r="J783" s="257">
        <f>J784</f>
        <v>0</v>
      </c>
      <c r="K783" s="257"/>
      <c r="L783" s="257">
        <f>L784</f>
        <v>0</v>
      </c>
      <c r="M783" s="257">
        <f t="shared" ref="M783:N783" si="439">M784</f>
        <v>0</v>
      </c>
      <c r="N783" s="257">
        <f t="shared" si="439"/>
        <v>0</v>
      </c>
    </row>
    <row r="784" spans="1:14" ht="24.75" hidden="1" customHeight="1" x14ac:dyDescent="0.2">
      <c r="A784" s="259" t="s">
        <v>93</v>
      </c>
      <c r="B784" s="271">
        <v>801</v>
      </c>
      <c r="C784" s="252" t="s">
        <v>194</v>
      </c>
      <c r="D784" s="252" t="s">
        <v>212</v>
      </c>
      <c r="E784" s="252" t="s">
        <v>133</v>
      </c>
      <c r="F784" s="252" t="s">
        <v>94</v>
      </c>
      <c r="G784" s="256"/>
      <c r="H784" s="256"/>
      <c r="I784" s="257"/>
      <c r="J784" s="257">
        <f>G784+I784</f>
        <v>0</v>
      </c>
      <c r="K784" s="257"/>
      <c r="L784" s="257">
        <f>H784+J784</f>
        <v>0</v>
      </c>
      <c r="M784" s="257">
        <f t="shared" ref="M784:N784" si="440">I784+K784</f>
        <v>0</v>
      </c>
      <c r="N784" s="257">
        <f t="shared" si="440"/>
        <v>0</v>
      </c>
    </row>
    <row r="785" spans="1:14" ht="16.5" hidden="1" customHeight="1" x14ac:dyDescent="0.2">
      <c r="A785" s="259" t="s">
        <v>1002</v>
      </c>
      <c r="B785" s="271">
        <v>801</v>
      </c>
      <c r="C785" s="252" t="s">
        <v>194</v>
      </c>
      <c r="D785" s="252" t="s">
        <v>212</v>
      </c>
      <c r="E785" s="252" t="s">
        <v>548</v>
      </c>
      <c r="F785" s="252"/>
      <c r="G785" s="256"/>
      <c r="H785" s="256"/>
      <c r="I785" s="257">
        <f>I786</f>
        <v>-100</v>
      </c>
      <c r="J785" s="257">
        <f>J786</f>
        <v>-100</v>
      </c>
      <c r="K785" s="257">
        <f>K786</f>
        <v>-100</v>
      </c>
      <c r="L785" s="257">
        <f>L786</f>
        <v>-100</v>
      </c>
      <c r="M785" s="257">
        <f t="shared" ref="M785:N785" si="441">M786</f>
        <v>-200</v>
      </c>
      <c r="N785" s="257">
        <f t="shared" si="441"/>
        <v>-200</v>
      </c>
    </row>
    <row r="786" spans="1:14" ht="17.25" hidden="1" customHeight="1" x14ac:dyDescent="0.2">
      <c r="A786" s="259" t="s">
        <v>93</v>
      </c>
      <c r="B786" s="271">
        <v>801</v>
      </c>
      <c r="C786" s="252" t="s">
        <v>194</v>
      </c>
      <c r="D786" s="252" t="s">
        <v>212</v>
      </c>
      <c r="E786" s="252" t="s">
        <v>548</v>
      </c>
      <c r="F786" s="252" t="s">
        <v>94</v>
      </c>
      <c r="G786" s="256"/>
      <c r="H786" s="256"/>
      <c r="I786" s="257">
        <v>-100</v>
      </c>
      <c r="J786" s="257">
        <f>G786+I786</f>
        <v>-100</v>
      </c>
      <c r="K786" s="257">
        <v>-100</v>
      </c>
      <c r="L786" s="257">
        <f>H786+J786</f>
        <v>-100</v>
      </c>
      <c r="M786" s="257">
        <f t="shared" ref="M786:N786" si="442">I786+K786</f>
        <v>-200</v>
      </c>
      <c r="N786" s="257">
        <f t="shared" si="442"/>
        <v>-200</v>
      </c>
    </row>
    <row r="787" spans="1:14" ht="31.5" hidden="1" customHeight="1" x14ac:dyDescent="0.2">
      <c r="A787" s="259" t="s">
        <v>425</v>
      </c>
      <c r="B787" s="271">
        <v>801</v>
      </c>
      <c r="C787" s="252" t="s">
        <v>194</v>
      </c>
      <c r="D787" s="252" t="s">
        <v>212</v>
      </c>
      <c r="E787" s="252" t="s">
        <v>548</v>
      </c>
      <c r="F787" s="252"/>
      <c r="G787" s="256"/>
      <c r="H787" s="256"/>
      <c r="I787" s="257">
        <f>I788</f>
        <v>-10</v>
      </c>
      <c r="J787" s="257">
        <f>J789</f>
        <v>-10</v>
      </c>
      <c r="K787" s="257">
        <f>K788</f>
        <v>-10</v>
      </c>
      <c r="L787" s="257">
        <f>L789</f>
        <v>-10</v>
      </c>
      <c r="M787" s="257">
        <f t="shared" ref="M787:N787" si="443">M789</f>
        <v>-20</v>
      </c>
      <c r="N787" s="257">
        <f t="shared" si="443"/>
        <v>-20</v>
      </c>
    </row>
    <row r="788" spans="1:14" ht="18" hidden="1" customHeight="1" x14ac:dyDescent="0.2">
      <c r="A788" s="259" t="s">
        <v>93</v>
      </c>
      <c r="B788" s="271">
        <v>801</v>
      </c>
      <c r="C788" s="252" t="s">
        <v>194</v>
      </c>
      <c r="D788" s="252" t="s">
        <v>212</v>
      </c>
      <c r="E788" s="252" t="s">
        <v>548</v>
      </c>
      <c r="F788" s="252" t="s">
        <v>94</v>
      </c>
      <c r="G788" s="256"/>
      <c r="H788" s="256"/>
      <c r="I788" s="257">
        <v>-10</v>
      </c>
      <c r="J788" s="257">
        <f>G788+I788</f>
        <v>-10</v>
      </c>
      <c r="K788" s="257">
        <v>-10</v>
      </c>
      <c r="L788" s="257">
        <f>H788+J788</f>
        <v>-10</v>
      </c>
      <c r="M788" s="257">
        <f t="shared" ref="M788:N788" si="444">I788+K788</f>
        <v>-20</v>
      </c>
      <c r="N788" s="257">
        <f t="shared" si="444"/>
        <v>-20</v>
      </c>
    </row>
    <row r="789" spans="1:14" ht="27.75" hidden="1" customHeight="1" x14ac:dyDescent="0.2">
      <c r="A789" s="259" t="s">
        <v>739</v>
      </c>
      <c r="B789" s="271">
        <v>801</v>
      </c>
      <c r="C789" s="252" t="s">
        <v>194</v>
      </c>
      <c r="D789" s="252" t="s">
        <v>212</v>
      </c>
      <c r="E789" s="252" t="s">
        <v>433</v>
      </c>
      <c r="F789" s="252"/>
      <c r="G789" s="256"/>
      <c r="H789" s="256"/>
      <c r="I789" s="257">
        <f>I790</f>
        <v>-10</v>
      </c>
      <c r="J789" s="257">
        <f>J790</f>
        <v>-10</v>
      </c>
      <c r="K789" s="257">
        <f>K790</f>
        <v>-10</v>
      </c>
      <c r="L789" s="257">
        <f>L790</f>
        <v>-10</v>
      </c>
      <c r="M789" s="257">
        <f t="shared" ref="M789:N789" si="445">M790</f>
        <v>-20</v>
      </c>
      <c r="N789" s="257">
        <f t="shared" si="445"/>
        <v>-20</v>
      </c>
    </row>
    <row r="790" spans="1:14" ht="18.75" hidden="1" customHeight="1" x14ac:dyDescent="0.2">
      <c r="A790" s="259" t="s">
        <v>93</v>
      </c>
      <c r="B790" s="271">
        <v>801</v>
      </c>
      <c r="C790" s="252" t="s">
        <v>194</v>
      </c>
      <c r="D790" s="252" t="s">
        <v>212</v>
      </c>
      <c r="E790" s="252" t="s">
        <v>433</v>
      </c>
      <c r="F790" s="252" t="s">
        <v>94</v>
      </c>
      <c r="G790" s="256"/>
      <c r="H790" s="256"/>
      <c r="I790" s="257">
        <v>-10</v>
      </c>
      <c r="J790" s="257">
        <f>G790+I790</f>
        <v>-10</v>
      </c>
      <c r="K790" s="257">
        <v>-10</v>
      </c>
      <c r="L790" s="257">
        <f>H790+J790</f>
        <v>-10</v>
      </c>
      <c r="M790" s="257">
        <f t="shared" ref="M790:N790" si="446">I790+K790</f>
        <v>-20</v>
      </c>
      <c r="N790" s="257">
        <f t="shared" si="446"/>
        <v>-20</v>
      </c>
    </row>
    <row r="791" spans="1:14" ht="18.75" hidden="1" customHeight="1" x14ac:dyDescent="0.2">
      <c r="A791" s="259" t="s">
        <v>466</v>
      </c>
      <c r="B791" s="271">
        <v>801</v>
      </c>
      <c r="C791" s="252" t="s">
        <v>194</v>
      </c>
      <c r="D791" s="252" t="s">
        <v>212</v>
      </c>
      <c r="E791" s="252" t="s">
        <v>804</v>
      </c>
      <c r="F791" s="252"/>
      <c r="G791" s="256"/>
      <c r="H791" s="256"/>
      <c r="I791" s="257">
        <f>I792</f>
        <v>0</v>
      </c>
      <c r="J791" s="257" t="e">
        <f>J792</f>
        <v>#REF!</v>
      </c>
      <c r="K791" s="257">
        <f>K792</f>
        <v>0</v>
      </c>
      <c r="L791" s="257" t="e">
        <f>L792</f>
        <v>#REF!</v>
      </c>
      <c r="M791" s="257" t="e">
        <f t="shared" ref="M791:N791" si="447">M792</f>
        <v>#REF!</v>
      </c>
      <c r="N791" s="257" t="e">
        <f t="shared" si="447"/>
        <v>#REF!</v>
      </c>
    </row>
    <row r="792" spans="1:14" ht="18.75" hidden="1" customHeight="1" x14ac:dyDescent="0.2">
      <c r="A792" s="259" t="s">
        <v>318</v>
      </c>
      <c r="B792" s="271" t="s">
        <v>146</v>
      </c>
      <c r="C792" s="252" t="s">
        <v>194</v>
      </c>
      <c r="D792" s="252" t="s">
        <v>212</v>
      </c>
      <c r="E792" s="252" t="s">
        <v>804</v>
      </c>
      <c r="F792" s="252" t="s">
        <v>319</v>
      </c>
      <c r="G792" s="256"/>
      <c r="H792" s="256"/>
      <c r="I792" s="257">
        <v>0</v>
      </c>
      <c r="J792" s="257" t="e">
        <f>#REF!+I792</f>
        <v>#REF!</v>
      </c>
      <c r="K792" s="257">
        <v>0</v>
      </c>
      <c r="L792" s="257" t="e">
        <f>#REF!+J792</f>
        <v>#REF!</v>
      </c>
      <c r="M792" s="257" t="e">
        <f>#REF!+K792</f>
        <v>#REF!</v>
      </c>
      <c r="N792" s="257" t="e">
        <f>#REF!+L792</f>
        <v>#REF!</v>
      </c>
    </row>
    <row r="793" spans="1:14" ht="43.5" customHeight="1" x14ac:dyDescent="0.2">
      <c r="A793" s="259" t="s">
        <v>981</v>
      </c>
      <c r="B793" s="271">
        <v>801</v>
      </c>
      <c r="C793" s="252" t="s">
        <v>194</v>
      </c>
      <c r="D793" s="252" t="s">
        <v>212</v>
      </c>
      <c r="E793" s="252" t="s">
        <v>803</v>
      </c>
      <c r="F793" s="252"/>
      <c r="G793" s="257">
        <f>G794+G795+G796</f>
        <v>0</v>
      </c>
      <c r="H793" s="257">
        <f>H794+H795+H796</f>
        <v>120</v>
      </c>
      <c r="I793" s="257">
        <f>I794+I795+I796</f>
        <v>0</v>
      </c>
      <c r="J793" s="257">
        <f t="shared" ref="J793:J799" si="448">H793+I793</f>
        <v>120</v>
      </c>
      <c r="K793" s="257">
        <f>K794+K795+K796</f>
        <v>0</v>
      </c>
      <c r="L793" s="257">
        <f>L794+L795+L796</f>
        <v>70</v>
      </c>
      <c r="M793" s="257">
        <f t="shared" ref="M793:N793" si="449">M794+M795+M796</f>
        <v>-56</v>
      </c>
      <c r="N793" s="257">
        <f t="shared" si="449"/>
        <v>14</v>
      </c>
    </row>
    <row r="794" spans="1:14" ht="39.75" customHeight="1" x14ac:dyDescent="0.2">
      <c r="A794" s="259" t="s">
        <v>513</v>
      </c>
      <c r="B794" s="271">
        <v>801</v>
      </c>
      <c r="C794" s="252" t="s">
        <v>194</v>
      </c>
      <c r="D794" s="252" t="s">
        <v>212</v>
      </c>
      <c r="E794" s="252" t="s">
        <v>802</v>
      </c>
      <c r="F794" s="252" t="s">
        <v>94</v>
      </c>
      <c r="G794" s="256"/>
      <c r="H794" s="257">
        <v>10</v>
      </c>
      <c r="I794" s="257">
        <v>0</v>
      </c>
      <c r="J794" s="257">
        <f t="shared" si="448"/>
        <v>10</v>
      </c>
      <c r="K794" s="257">
        <v>0</v>
      </c>
      <c r="L794" s="257">
        <v>10</v>
      </c>
      <c r="M794" s="257">
        <v>-8</v>
      </c>
      <c r="N794" s="257">
        <f>L794+M794</f>
        <v>2</v>
      </c>
    </row>
    <row r="795" spans="1:14" ht="32.25" customHeight="1" x14ac:dyDescent="0.2">
      <c r="A795" s="259" t="s">
        <v>737</v>
      </c>
      <c r="B795" s="271">
        <v>801</v>
      </c>
      <c r="C795" s="252" t="s">
        <v>194</v>
      </c>
      <c r="D795" s="252" t="s">
        <v>212</v>
      </c>
      <c r="E795" s="252" t="s">
        <v>801</v>
      </c>
      <c r="F795" s="252" t="s">
        <v>94</v>
      </c>
      <c r="G795" s="256"/>
      <c r="H795" s="257">
        <v>10</v>
      </c>
      <c r="I795" s="257">
        <v>0</v>
      </c>
      <c r="J795" s="257">
        <f t="shared" si="448"/>
        <v>10</v>
      </c>
      <c r="K795" s="257">
        <v>0</v>
      </c>
      <c r="L795" s="257">
        <v>10</v>
      </c>
      <c r="M795" s="257">
        <v>-8</v>
      </c>
      <c r="N795" s="257">
        <f t="shared" ref="N795:N796" si="450">L795+M795</f>
        <v>2</v>
      </c>
    </row>
    <row r="796" spans="1:14" ht="18.75" customHeight="1" x14ac:dyDescent="0.2">
      <c r="A796" s="259" t="s">
        <v>514</v>
      </c>
      <c r="B796" s="271">
        <v>801</v>
      </c>
      <c r="C796" s="252" t="s">
        <v>194</v>
      </c>
      <c r="D796" s="252" t="s">
        <v>212</v>
      </c>
      <c r="E796" s="252" t="s">
        <v>800</v>
      </c>
      <c r="F796" s="252" t="s">
        <v>94</v>
      </c>
      <c r="G796" s="256"/>
      <c r="H796" s="257">
        <v>100</v>
      </c>
      <c r="I796" s="257">
        <v>0</v>
      </c>
      <c r="J796" s="257">
        <f t="shared" si="448"/>
        <v>100</v>
      </c>
      <c r="K796" s="257">
        <v>0</v>
      </c>
      <c r="L796" s="257">
        <v>50</v>
      </c>
      <c r="M796" s="257">
        <v>-40</v>
      </c>
      <c r="N796" s="257">
        <f t="shared" si="450"/>
        <v>10</v>
      </c>
    </row>
    <row r="797" spans="1:14" ht="27" hidden="1" customHeight="1" x14ac:dyDescent="0.2">
      <c r="A797" s="259" t="s">
        <v>466</v>
      </c>
      <c r="B797" s="271">
        <v>801</v>
      </c>
      <c r="C797" s="252" t="s">
        <v>194</v>
      </c>
      <c r="D797" s="252" t="s">
        <v>212</v>
      </c>
      <c r="E797" s="252" t="s">
        <v>874</v>
      </c>
      <c r="F797" s="252" t="s">
        <v>94</v>
      </c>
      <c r="G797" s="256"/>
      <c r="H797" s="257">
        <v>0</v>
      </c>
      <c r="I797" s="257">
        <v>9</v>
      </c>
      <c r="J797" s="257">
        <f t="shared" si="448"/>
        <v>9</v>
      </c>
      <c r="K797" s="257">
        <v>10</v>
      </c>
      <c r="L797" s="257">
        <v>0</v>
      </c>
      <c r="M797" s="257">
        <v>0</v>
      </c>
      <c r="N797" s="257">
        <v>0</v>
      </c>
    </row>
    <row r="798" spans="1:14" ht="30" customHeight="1" x14ac:dyDescent="0.2">
      <c r="A798" s="259" t="s">
        <v>466</v>
      </c>
      <c r="B798" s="271">
        <v>801</v>
      </c>
      <c r="C798" s="252" t="s">
        <v>194</v>
      </c>
      <c r="D798" s="252" t="s">
        <v>212</v>
      </c>
      <c r="E798" s="252" t="s">
        <v>874</v>
      </c>
      <c r="F798" s="252"/>
      <c r="G798" s="256"/>
      <c r="H798" s="257">
        <f>H799</f>
        <v>800</v>
      </c>
      <c r="I798" s="257">
        <f>I799</f>
        <v>-184</v>
      </c>
      <c r="J798" s="257">
        <f t="shared" si="448"/>
        <v>616</v>
      </c>
      <c r="K798" s="257">
        <f>K799</f>
        <v>-216</v>
      </c>
      <c r="L798" s="257">
        <f>L799</f>
        <v>650</v>
      </c>
      <c r="M798" s="257">
        <f t="shared" ref="M798:N798" si="451">M799</f>
        <v>-650</v>
      </c>
      <c r="N798" s="257">
        <f t="shared" si="451"/>
        <v>0</v>
      </c>
    </row>
    <row r="799" spans="1:14" ht="18.75" customHeight="1" x14ac:dyDescent="0.2">
      <c r="A799" s="259" t="s">
        <v>318</v>
      </c>
      <c r="B799" s="271" t="s">
        <v>146</v>
      </c>
      <c r="C799" s="252" t="s">
        <v>194</v>
      </c>
      <c r="D799" s="252" t="s">
        <v>212</v>
      </c>
      <c r="E799" s="252" t="s">
        <v>874</v>
      </c>
      <c r="F799" s="252" t="s">
        <v>319</v>
      </c>
      <c r="G799" s="256"/>
      <c r="H799" s="257">
        <v>800</v>
      </c>
      <c r="I799" s="257">
        <f>-175-9</f>
        <v>-184</v>
      </c>
      <c r="J799" s="257">
        <f t="shared" si="448"/>
        <v>616</v>
      </c>
      <c r="K799" s="257">
        <v>-216</v>
      </c>
      <c r="L799" s="257">
        <v>650</v>
      </c>
      <c r="M799" s="257">
        <v>-650</v>
      </c>
      <c r="N799" s="257">
        <f>L799+M799</f>
        <v>0</v>
      </c>
    </row>
    <row r="800" spans="1:14" ht="18.75" hidden="1" customHeight="1" x14ac:dyDescent="0.2">
      <c r="A800" s="259" t="s">
        <v>352</v>
      </c>
      <c r="B800" s="271">
        <v>801</v>
      </c>
      <c r="C800" s="252" t="s">
        <v>194</v>
      </c>
      <c r="D800" s="252" t="s">
        <v>212</v>
      </c>
      <c r="E800" s="252" t="s">
        <v>875</v>
      </c>
      <c r="F800" s="252"/>
      <c r="G800" s="256"/>
      <c r="H800" s="257"/>
      <c r="I800" s="257"/>
      <c r="J800" s="257"/>
      <c r="K800" s="257">
        <f>K801+K802</f>
        <v>206</v>
      </c>
      <c r="L800" s="257">
        <f>L801+L802</f>
        <v>0</v>
      </c>
      <c r="M800" s="257"/>
      <c r="N800" s="257">
        <f>N801+N802</f>
        <v>0</v>
      </c>
    </row>
    <row r="801" spans="1:14" ht="18.75" hidden="1" customHeight="1" x14ac:dyDescent="0.2">
      <c r="A801" s="259" t="s">
        <v>921</v>
      </c>
      <c r="B801" s="271">
        <v>801</v>
      </c>
      <c r="C801" s="252" t="s">
        <v>194</v>
      </c>
      <c r="D801" s="252" t="s">
        <v>212</v>
      </c>
      <c r="E801" s="252" t="s">
        <v>875</v>
      </c>
      <c r="F801" s="252" t="s">
        <v>102</v>
      </c>
      <c r="G801" s="256"/>
      <c r="H801" s="257"/>
      <c r="I801" s="257"/>
      <c r="J801" s="257"/>
      <c r="K801" s="257">
        <v>106</v>
      </c>
      <c r="L801" s="257">
        <v>0</v>
      </c>
      <c r="M801" s="257"/>
      <c r="N801" s="257">
        <v>0</v>
      </c>
    </row>
    <row r="802" spans="1:14" ht="18.75" hidden="1" customHeight="1" x14ac:dyDescent="0.2">
      <c r="A802" s="259" t="s">
        <v>93</v>
      </c>
      <c r="B802" s="271" t="s">
        <v>146</v>
      </c>
      <c r="C802" s="252" t="s">
        <v>194</v>
      </c>
      <c r="D802" s="252" t="s">
        <v>212</v>
      </c>
      <c r="E802" s="252" t="s">
        <v>875</v>
      </c>
      <c r="F802" s="252" t="s">
        <v>94</v>
      </c>
      <c r="G802" s="256"/>
      <c r="H802" s="257"/>
      <c r="I802" s="257"/>
      <c r="J802" s="257"/>
      <c r="K802" s="257">
        <v>100</v>
      </c>
      <c r="L802" s="257">
        <v>0</v>
      </c>
      <c r="M802" s="257"/>
      <c r="N802" s="257">
        <v>0</v>
      </c>
    </row>
    <row r="803" spans="1:14" ht="25.5" customHeight="1" x14ac:dyDescent="0.2">
      <c r="A803" s="259" t="s">
        <v>894</v>
      </c>
      <c r="B803" s="271" t="s">
        <v>146</v>
      </c>
      <c r="C803" s="252" t="s">
        <v>194</v>
      </c>
      <c r="D803" s="252" t="s">
        <v>212</v>
      </c>
      <c r="E803" s="252" t="s">
        <v>833</v>
      </c>
      <c r="F803" s="252"/>
      <c r="G803" s="374">
        <f>G804+G807+G808+G806</f>
        <v>0</v>
      </c>
      <c r="H803" s="257">
        <f t="shared" ref="H803:K803" si="452">H804+H806+H807+H808+H805</f>
        <v>2206</v>
      </c>
      <c r="I803" s="257">
        <f t="shared" si="452"/>
        <v>153</v>
      </c>
      <c r="J803" s="257">
        <f t="shared" si="452"/>
        <v>2359</v>
      </c>
      <c r="K803" s="257">
        <f t="shared" si="452"/>
        <v>-103</v>
      </c>
      <c r="L803" s="257">
        <f>L804+L806+L807+L808+L805+L809</f>
        <v>2671</v>
      </c>
      <c r="M803" s="257">
        <f t="shared" ref="M803:N803" si="453">M804+M806+M807+M808+M805+M809</f>
        <v>936</v>
      </c>
      <c r="N803" s="257">
        <f t="shared" si="453"/>
        <v>3607</v>
      </c>
    </row>
    <row r="804" spans="1:14" ht="24.75" customHeight="1" x14ac:dyDescent="0.2">
      <c r="A804" s="259" t="s">
        <v>831</v>
      </c>
      <c r="B804" s="271" t="s">
        <v>146</v>
      </c>
      <c r="C804" s="252" t="s">
        <v>194</v>
      </c>
      <c r="D804" s="252" t="s">
        <v>212</v>
      </c>
      <c r="E804" s="252" t="s">
        <v>833</v>
      </c>
      <c r="F804" s="252" t="s">
        <v>832</v>
      </c>
      <c r="G804" s="256"/>
      <c r="H804" s="257">
        <v>2123</v>
      </c>
      <c r="I804" s="257">
        <f>-373+118</f>
        <v>-255</v>
      </c>
      <c r="J804" s="257">
        <f>H804+I804</f>
        <v>1868</v>
      </c>
      <c r="K804" s="257">
        <v>-118</v>
      </c>
      <c r="L804" s="257">
        <v>1960</v>
      </c>
      <c r="M804" s="257">
        <v>745</v>
      </c>
      <c r="N804" s="257">
        <f>L804+M804</f>
        <v>2705</v>
      </c>
    </row>
    <row r="805" spans="1:14" ht="27.75" customHeight="1" x14ac:dyDescent="0.2">
      <c r="A805" s="361" t="s">
        <v>900</v>
      </c>
      <c r="B805" s="271" t="s">
        <v>146</v>
      </c>
      <c r="C805" s="252" t="s">
        <v>194</v>
      </c>
      <c r="D805" s="252" t="s">
        <v>212</v>
      </c>
      <c r="E805" s="252" t="s">
        <v>833</v>
      </c>
      <c r="F805" s="252" t="s">
        <v>899</v>
      </c>
      <c r="G805" s="256"/>
      <c r="H805" s="257">
        <v>0</v>
      </c>
      <c r="I805" s="257">
        <f>373+35</f>
        <v>408</v>
      </c>
      <c r="J805" s="257">
        <f>H805+I805</f>
        <v>408</v>
      </c>
      <c r="K805" s="257">
        <v>15</v>
      </c>
      <c r="L805" s="257">
        <v>590</v>
      </c>
      <c r="M805" s="257">
        <v>227</v>
      </c>
      <c r="N805" s="257">
        <f t="shared" ref="N805:N809" si="454">L805+M805</f>
        <v>817</v>
      </c>
    </row>
    <row r="806" spans="1:14" ht="18.75" customHeight="1" x14ac:dyDescent="0.2">
      <c r="A806" s="259" t="s">
        <v>952</v>
      </c>
      <c r="B806" s="271" t="s">
        <v>146</v>
      </c>
      <c r="C806" s="252" t="s">
        <v>194</v>
      </c>
      <c r="D806" s="252" t="s">
        <v>212</v>
      </c>
      <c r="E806" s="252" t="s">
        <v>833</v>
      </c>
      <c r="F806" s="252" t="s">
        <v>919</v>
      </c>
      <c r="G806" s="256"/>
      <c r="H806" s="257">
        <v>28</v>
      </c>
      <c r="I806" s="257">
        <v>0</v>
      </c>
      <c r="J806" s="257">
        <f>H806+I806</f>
        <v>28</v>
      </c>
      <c r="K806" s="257">
        <v>0</v>
      </c>
      <c r="L806" s="257">
        <v>53</v>
      </c>
      <c r="M806" s="257">
        <v>-53</v>
      </c>
      <c r="N806" s="257">
        <f t="shared" si="454"/>
        <v>0</v>
      </c>
    </row>
    <row r="807" spans="1:14" ht="18.75" customHeight="1" x14ac:dyDescent="0.2">
      <c r="A807" s="259" t="s">
        <v>99</v>
      </c>
      <c r="B807" s="271" t="s">
        <v>146</v>
      </c>
      <c r="C807" s="252" t="s">
        <v>194</v>
      </c>
      <c r="D807" s="252" t="s">
        <v>212</v>
      </c>
      <c r="E807" s="252" t="s">
        <v>833</v>
      </c>
      <c r="F807" s="252" t="s">
        <v>100</v>
      </c>
      <c r="G807" s="256"/>
      <c r="H807" s="257">
        <v>50</v>
      </c>
      <c r="I807" s="257">
        <v>0</v>
      </c>
      <c r="J807" s="257">
        <f>H807+I807</f>
        <v>50</v>
      </c>
      <c r="K807" s="257">
        <v>0</v>
      </c>
      <c r="L807" s="257">
        <v>0</v>
      </c>
      <c r="M807" s="257">
        <v>85</v>
      </c>
      <c r="N807" s="257">
        <f t="shared" si="454"/>
        <v>85</v>
      </c>
    </row>
    <row r="808" spans="1:14" ht="18.75" customHeight="1" x14ac:dyDescent="0.2">
      <c r="A808" s="259" t="s">
        <v>93</v>
      </c>
      <c r="B808" s="271" t="s">
        <v>146</v>
      </c>
      <c r="C808" s="252" t="s">
        <v>194</v>
      </c>
      <c r="D808" s="252" t="s">
        <v>212</v>
      </c>
      <c r="E808" s="252" t="s">
        <v>833</v>
      </c>
      <c r="F808" s="252" t="s">
        <v>94</v>
      </c>
      <c r="G808" s="256"/>
      <c r="H808" s="257">
        <v>5</v>
      </c>
      <c r="I808" s="257">
        <v>0</v>
      </c>
      <c r="J808" s="257">
        <f>H808+I808</f>
        <v>5</v>
      </c>
      <c r="K808" s="257">
        <v>0</v>
      </c>
      <c r="L808" s="257">
        <v>68</v>
      </c>
      <c r="M808" s="257">
        <v>-68</v>
      </c>
      <c r="N808" s="257">
        <f t="shared" si="454"/>
        <v>0</v>
      </c>
    </row>
    <row r="809" spans="1:14" ht="18.75" customHeight="1" x14ac:dyDescent="0.2">
      <c r="A809" s="259" t="s">
        <v>103</v>
      </c>
      <c r="B809" s="271" t="s">
        <v>146</v>
      </c>
      <c r="C809" s="252" t="s">
        <v>194</v>
      </c>
      <c r="D809" s="252" t="s">
        <v>212</v>
      </c>
      <c r="E809" s="252" t="s">
        <v>833</v>
      </c>
      <c r="F809" s="252" t="s">
        <v>104</v>
      </c>
      <c r="G809" s="256"/>
      <c r="H809" s="257"/>
      <c r="I809" s="257"/>
      <c r="J809" s="257"/>
      <c r="K809" s="257"/>
      <c r="L809" s="257">
        <v>0</v>
      </c>
      <c r="M809" s="257">
        <v>0</v>
      </c>
      <c r="N809" s="257">
        <f t="shared" si="454"/>
        <v>0</v>
      </c>
    </row>
    <row r="810" spans="1:14" ht="32.25" customHeight="1" x14ac:dyDescent="0.2">
      <c r="A810" s="398" t="s">
        <v>48</v>
      </c>
      <c r="B810" s="249">
        <v>801</v>
      </c>
      <c r="C810" s="250" t="s">
        <v>194</v>
      </c>
      <c r="D810" s="250" t="s">
        <v>208</v>
      </c>
      <c r="E810" s="250"/>
      <c r="F810" s="250"/>
      <c r="G810" s="264"/>
      <c r="H810" s="275">
        <f t="shared" ref="H810:K810" si="455">H811</f>
        <v>18</v>
      </c>
      <c r="I810" s="275">
        <f t="shared" si="455"/>
        <v>0</v>
      </c>
      <c r="J810" s="275">
        <f t="shared" si="455"/>
        <v>18</v>
      </c>
      <c r="K810" s="275">
        <f t="shared" si="455"/>
        <v>0</v>
      </c>
      <c r="L810" s="275">
        <f>L811+L814+L815</f>
        <v>22.22</v>
      </c>
      <c r="M810" s="275">
        <f t="shared" ref="M810" si="456">M811+M814+M815</f>
        <v>-22.22</v>
      </c>
      <c r="N810" s="275">
        <f>N811+N814+N815</f>
        <v>0</v>
      </c>
    </row>
    <row r="811" spans="1:14" ht="29.25" customHeight="1" x14ac:dyDescent="0.2">
      <c r="A811" s="259" t="s">
        <v>839</v>
      </c>
      <c r="B811" s="271">
        <v>801</v>
      </c>
      <c r="C811" s="252" t="s">
        <v>194</v>
      </c>
      <c r="D811" s="252" t="s">
        <v>208</v>
      </c>
      <c r="E811" s="252" t="s">
        <v>842</v>
      </c>
      <c r="F811" s="252"/>
      <c r="G811" s="257">
        <f>G812+G813</f>
        <v>0</v>
      </c>
      <c r="H811" s="257">
        <f>H812+H813</f>
        <v>18</v>
      </c>
      <c r="I811" s="257">
        <f>I812+I813</f>
        <v>0</v>
      </c>
      <c r="J811" s="257">
        <f>H811+I811</f>
        <v>18</v>
      </c>
      <c r="K811" s="257">
        <f>K812+K813</f>
        <v>0</v>
      </c>
      <c r="L811" s="257">
        <f>L812+L813</f>
        <v>22.22</v>
      </c>
      <c r="M811" s="257">
        <f t="shared" ref="M811:N811" si="457">M812+M813</f>
        <v>-22.22</v>
      </c>
      <c r="N811" s="257">
        <f t="shared" si="457"/>
        <v>0</v>
      </c>
    </row>
    <row r="812" spans="1:14" ht="18.75" customHeight="1" x14ac:dyDescent="0.2">
      <c r="A812" s="259" t="s">
        <v>93</v>
      </c>
      <c r="B812" s="271">
        <v>801</v>
      </c>
      <c r="C812" s="252" t="s">
        <v>194</v>
      </c>
      <c r="D812" s="252" t="s">
        <v>208</v>
      </c>
      <c r="E812" s="252" t="s">
        <v>842</v>
      </c>
      <c r="F812" s="252" t="s">
        <v>94</v>
      </c>
      <c r="G812" s="256"/>
      <c r="H812" s="257">
        <v>16.2</v>
      </c>
      <c r="I812" s="257">
        <v>0</v>
      </c>
      <c r="J812" s="257">
        <f>H812+I812</f>
        <v>16.2</v>
      </c>
      <c r="K812" s="257">
        <v>0</v>
      </c>
      <c r="L812" s="257">
        <v>20</v>
      </c>
      <c r="M812" s="257">
        <v>-20</v>
      </c>
      <c r="N812" s="257">
        <f>L812+M812</f>
        <v>0</v>
      </c>
    </row>
    <row r="813" spans="1:14" ht="29.25" customHeight="1" x14ac:dyDescent="0.2">
      <c r="A813" s="259" t="s">
        <v>840</v>
      </c>
      <c r="B813" s="271">
        <v>801</v>
      </c>
      <c r="C813" s="252" t="s">
        <v>194</v>
      </c>
      <c r="D813" s="252" t="s">
        <v>208</v>
      </c>
      <c r="E813" s="252" t="s">
        <v>841</v>
      </c>
      <c r="F813" s="252" t="s">
        <v>94</v>
      </c>
      <c r="G813" s="256"/>
      <c r="H813" s="257">
        <v>1.8</v>
      </c>
      <c r="I813" s="257">
        <v>0</v>
      </c>
      <c r="J813" s="257">
        <f>H813+I813</f>
        <v>1.8</v>
      </c>
      <c r="K813" s="257">
        <v>0</v>
      </c>
      <c r="L813" s="257">
        <v>2.2200000000000002</v>
      </c>
      <c r="M813" s="257">
        <v>-2.2200000000000002</v>
      </c>
      <c r="N813" s="257">
        <f>L813+M813</f>
        <v>0</v>
      </c>
    </row>
    <row r="814" spans="1:14" ht="29.25" hidden="1" customHeight="1" x14ac:dyDescent="0.2">
      <c r="A814" s="259" t="s">
        <v>514</v>
      </c>
      <c r="B814" s="271">
        <v>801</v>
      </c>
      <c r="C814" s="252" t="s">
        <v>194</v>
      </c>
      <c r="D814" s="252" t="s">
        <v>208</v>
      </c>
      <c r="E814" s="252" t="s">
        <v>800</v>
      </c>
      <c r="F814" s="252" t="s">
        <v>94</v>
      </c>
      <c r="G814" s="256"/>
      <c r="H814" s="257"/>
      <c r="I814" s="257"/>
      <c r="J814" s="257"/>
      <c r="K814" s="257"/>
      <c r="L814" s="257">
        <v>0</v>
      </c>
      <c r="M814" s="257">
        <v>0</v>
      </c>
      <c r="N814" s="257">
        <f t="shared" ref="N814:N815" si="458">L814+M814</f>
        <v>0</v>
      </c>
    </row>
    <row r="815" spans="1:14" ht="27" hidden="1" customHeight="1" x14ac:dyDescent="0.2">
      <c r="A815" s="259" t="s">
        <v>1024</v>
      </c>
      <c r="B815" s="271">
        <v>801</v>
      </c>
      <c r="C815" s="252" t="s">
        <v>194</v>
      </c>
      <c r="D815" s="252" t="s">
        <v>208</v>
      </c>
      <c r="E815" s="252" t="s">
        <v>1025</v>
      </c>
      <c r="F815" s="252" t="s">
        <v>94</v>
      </c>
      <c r="G815" s="256"/>
      <c r="H815" s="257"/>
      <c r="I815" s="257"/>
      <c r="J815" s="257"/>
      <c r="K815" s="257"/>
      <c r="L815" s="257">
        <v>0</v>
      </c>
      <c r="M815" s="257">
        <v>0</v>
      </c>
      <c r="N815" s="257">
        <f t="shared" si="458"/>
        <v>0</v>
      </c>
    </row>
    <row r="816" spans="1:14" s="19" customFormat="1" ht="14.25" x14ac:dyDescent="0.2">
      <c r="A816" s="398" t="s">
        <v>306</v>
      </c>
      <c r="B816" s="249">
        <v>801</v>
      </c>
      <c r="C816" s="250" t="s">
        <v>196</v>
      </c>
      <c r="D816" s="250"/>
      <c r="E816" s="250"/>
      <c r="F816" s="250"/>
      <c r="G816" s="275" t="e">
        <f>G817+G827+G836+G840</f>
        <v>#REF!</v>
      </c>
      <c r="H816" s="275">
        <f>H817+H827+H836+H840</f>
        <v>18217.97</v>
      </c>
      <c r="I816" s="275">
        <f>I817+I827+I836+I840</f>
        <v>-3146.1800000000003</v>
      </c>
      <c r="J816" s="275">
        <f>J817+J827+J836+J840</f>
        <v>15071.789999999999</v>
      </c>
      <c r="K816" s="275">
        <f>K817+K827+K836+K840</f>
        <v>3765.9959999999996</v>
      </c>
      <c r="L816" s="275">
        <f>L817+L836+L840</f>
        <v>14950.08</v>
      </c>
      <c r="M816" s="275">
        <f>M817+M836+M840</f>
        <v>-3706.38</v>
      </c>
      <c r="N816" s="275">
        <f>N817+N836+N840</f>
        <v>11243.7</v>
      </c>
    </row>
    <row r="817" spans="1:14" ht="15" x14ac:dyDescent="0.2">
      <c r="A817" s="398" t="s">
        <v>217</v>
      </c>
      <c r="B817" s="249">
        <v>801</v>
      </c>
      <c r="C817" s="250" t="s">
        <v>196</v>
      </c>
      <c r="D817" s="250" t="s">
        <v>198</v>
      </c>
      <c r="E817" s="250"/>
      <c r="F817" s="250"/>
      <c r="G817" s="257" t="e">
        <f>#REF!+#REF!+G818+G821+G823+G825</f>
        <v>#REF!</v>
      </c>
      <c r="H817" s="275">
        <f>H818+H821+H823+H825</f>
        <v>2737.8</v>
      </c>
      <c r="I817" s="275">
        <f>I818+I821+I823+I825</f>
        <v>0</v>
      </c>
      <c r="J817" s="275">
        <f>J818+J821+J823+J825</f>
        <v>2737.8</v>
      </c>
      <c r="K817" s="275">
        <f>K818+K821+K823+K825</f>
        <v>-563.1</v>
      </c>
      <c r="L817" s="275">
        <f>L818+L821+L823+L825</f>
        <v>2511.4</v>
      </c>
      <c r="M817" s="275">
        <f t="shared" ref="M817:N817" si="459">M818+M821+M823+M825</f>
        <v>-347.9</v>
      </c>
      <c r="N817" s="275">
        <f t="shared" si="459"/>
        <v>2163.5</v>
      </c>
    </row>
    <row r="818" spans="1:14" ht="43.5" customHeight="1" x14ac:dyDescent="0.2">
      <c r="A818" s="259" t="s">
        <v>982</v>
      </c>
      <c r="B818" s="271">
        <v>801</v>
      </c>
      <c r="C818" s="252" t="s">
        <v>196</v>
      </c>
      <c r="D818" s="252" t="s">
        <v>198</v>
      </c>
      <c r="E818" s="252" t="s">
        <v>873</v>
      </c>
      <c r="F818" s="252"/>
      <c r="G818" s="256"/>
      <c r="H818" s="257">
        <f>H819+H820</f>
        <v>1395</v>
      </c>
      <c r="I818" s="257">
        <f>I819+I820</f>
        <v>0</v>
      </c>
      <c r="J818" s="257">
        <f t="shared" ref="J818:J826" si="460">H818+I818</f>
        <v>1395</v>
      </c>
      <c r="K818" s="257">
        <f>K819+K820</f>
        <v>0</v>
      </c>
      <c r="L818" s="257">
        <f>L819+L820</f>
        <v>1705</v>
      </c>
      <c r="M818" s="257">
        <f t="shared" ref="M818" si="461">M819+M820</f>
        <v>26</v>
      </c>
      <c r="N818" s="257">
        <f>N819+N820</f>
        <v>1731</v>
      </c>
    </row>
    <row r="819" spans="1:14" ht="20.25" customHeight="1" x14ac:dyDescent="0.2">
      <c r="A819" s="259" t="s">
        <v>95</v>
      </c>
      <c r="B819" s="271">
        <v>801</v>
      </c>
      <c r="C819" s="252" t="s">
        <v>196</v>
      </c>
      <c r="D819" s="252" t="s">
        <v>198</v>
      </c>
      <c r="E819" s="252" t="s">
        <v>873</v>
      </c>
      <c r="F819" s="252" t="s">
        <v>96</v>
      </c>
      <c r="G819" s="256"/>
      <c r="H819" s="257">
        <v>1395</v>
      </c>
      <c r="I819" s="257">
        <v>-122.1</v>
      </c>
      <c r="J819" s="257">
        <f t="shared" si="460"/>
        <v>1272.9000000000001</v>
      </c>
      <c r="K819" s="257">
        <v>0</v>
      </c>
      <c r="L819" s="257">
        <v>1309</v>
      </c>
      <c r="M819" s="257">
        <v>20</v>
      </c>
      <c r="N819" s="257">
        <f>L819+M819</f>
        <v>1329</v>
      </c>
    </row>
    <row r="820" spans="1:14" ht="35.25" customHeight="1" x14ac:dyDescent="0.2">
      <c r="A820" s="361" t="s">
        <v>898</v>
      </c>
      <c r="B820" s="271">
        <v>801</v>
      </c>
      <c r="C820" s="252" t="s">
        <v>196</v>
      </c>
      <c r="D820" s="252" t="s">
        <v>198</v>
      </c>
      <c r="E820" s="252" t="s">
        <v>873</v>
      </c>
      <c r="F820" s="252" t="s">
        <v>896</v>
      </c>
      <c r="G820" s="256"/>
      <c r="H820" s="257">
        <v>0</v>
      </c>
      <c r="I820" s="257">
        <v>122.1</v>
      </c>
      <c r="J820" s="257">
        <f t="shared" si="460"/>
        <v>122.1</v>
      </c>
      <c r="K820" s="257">
        <v>0</v>
      </c>
      <c r="L820" s="257">
        <v>396</v>
      </c>
      <c r="M820" s="257">
        <v>6</v>
      </c>
      <c r="N820" s="257">
        <f>L820+M820</f>
        <v>402</v>
      </c>
    </row>
    <row r="821" spans="1:14" ht="32.25" customHeight="1" x14ac:dyDescent="0.2">
      <c r="A821" s="259" t="s">
        <v>983</v>
      </c>
      <c r="B821" s="271">
        <v>801</v>
      </c>
      <c r="C821" s="252" t="s">
        <v>196</v>
      </c>
      <c r="D821" s="252" t="s">
        <v>198</v>
      </c>
      <c r="E821" s="252" t="s">
        <v>799</v>
      </c>
      <c r="F821" s="252"/>
      <c r="G821" s="256"/>
      <c r="H821" s="257">
        <f>H822</f>
        <v>300</v>
      </c>
      <c r="I821" s="257">
        <f>I822</f>
        <v>0</v>
      </c>
      <c r="J821" s="257">
        <f t="shared" si="460"/>
        <v>300</v>
      </c>
      <c r="K821" s="257">
        <f>K822</f>
        <v>0</v>
      </c>
      <c r="L821" s="257">
        <f>L822</f>
        <v>240</v>
      </c>
      <c r="M821" s="257">
        <f t="shared" ref="M821:N821" si="462">M822</f>
        <v>-230</v>
      </c>
      <c r="N821" s="257">
        <f t="shared" si="462"/>
        <v>10</v>
      </c>
    </row>
    <row r="822" spans="1:14" ht="20.25" customHeight="1" x14ac:dyDescent="0.2">
      <c r="A822" s="259" t="s">
        <v>721</v>
      </c>
      <c r="B822" s="271">
        <v>801</v>
      </c>
      <c r="C822" s="252" t="s">
        <v>196</v>
      </c>
      <c r="D822" s="252" t="s">
        <v>198</v>
      </c>
      <c r="E822" s="252" t="s">
        <v>799</v>
      </c>
      <c r="F822" s="252" t="s">
        <v>94</v>
      </c>
      <c r="G822" s="256"/>
      <c r="H822" s="257">
        <v>300</v>
      </c>
      <c r="I822" s="257">
        <v>0</v>
      </c>
      <c r="J822" s="257">
        <f t="shared" si="460"/>
        <v>300</v>
      </c>
      <c r="K822" s="257">
        <v>0</v>
      </c>
      <c r="L822" s="257">
        <v>240</v>
      </c>
      <c r="M822" s="257">
        <v>-230</v>
      </c>
      <c r="N822" s="257">
        <f>L822+M822</f>
        <v>10</v>
      </c>
    </row>
    <row r="823" spans="1:14" ht="58.5" customHeight="1" x14ac:dyDescent="0.2">
      <c r="A823" s="259" t="s">
        <v>795</v>
      </c>
      <c r="B823" s="271">
        <v>801</v>
      </c>
      <c r="C823" s="252" t="s">
        <v>196</v>
      </c>
      <c r="D823" s="252" t="s">
        <v>198</v>
      </c>
      <c r="E823" s="252" t="s">
        <v>798</v>
      </c>
      <c r="F823" s="252"/>
      <c r="G823" s="256"/>
      <c r="H823" s="257">
        <f>H824</f>
        <v>909</v>
      </c>
      <c r="I823" s="257">
        <f>I824</f>
        <v>0</v>
      </c>
      <c r="J823" s="257">
        <f t="shared" si="460"/>
        <v>909</v>
      </c>
      <c r="K823" s="257">
        <f>K824</f>
        <v>-563.1</v>
      </c>
      <c r="L823" s="257">
        <f>L824</f>
        <v>363.5</v>
      </c>
      <c r="M823" s="257">
        <f t="shared" ref="M823:N823" si="463">M824</f>
        <v>-133.4</v>
      </c>
      <c r="N823" s="257">
        <f t="shared" si="463"/>
        <v>230.1</v>
      </c>
    </row>
    <row r="824" spans="1:14" ht="20.25" customHeight="1" x14ac:dyDescent="0.2">
      <c r="A824" s="259" t="s">
        <v>1027</v>
      </c>
      <c r="B824" s="271">
        <v>801</v>
      </c>
      <c r="C824" s="252" t="s">
        <v>196</v>
      </c>
      <c r="D824" s="252" t="s">
        <v>198</v>
      </c>
      <c r="E824" s="252" t="s">
        <v>798</v>
      </c>
      <c r="F824" s="252" t="s">
        <v>57</v>
      </c>
      <c r="G824" s="256"/>
      <c r="H824" s="257">
        <v>909</v>
      </c>
      <c r="I824" s="257">
        <v>0</v>
      </c>
      <c r="J824" s="257">
        <f t="shared" si="460"/>
        <v>909</v>
      </c>
      <c r="K824" s="257">
        <v>-563.1</v>
      </c>
      <c r="L824" s="257">
        <v>363.5</v>
      </c>
      <c r="M824" s="257">
        <v>-133.4</v>
      </c>
      <c r="N824" s="257">
        <f>L824+M824</f>
        <v>230.1</v>
      </c>
    </row>
    <row r="825" spans="1:14" ht="27.75" customHeight="1" x14ac:dyDescent="0.2">
      <c r="A825" s="259" t="s">
        <v>796</v>
      </c>
      <c r="B825" s="271">
        <v>801</v>
      </c>
      <c r="C825" s="252" t="s">
        <v>196</v>
      </c>
      <c r="D825" s="252" t="s">
        <v>198</v>
      </c>
      <c r="E825" s="252" t="s">
        <v>797</v>
      </c>
      <c r="F825" s="252"/>
      <c r="G825" s="256"/>
      <c r="H825" s="257">
        <f>H826</f>
        <v>133.80000000000001</v>
      </c>
      <c r="I825" s="257">
        <f>I826</f>
        <v>0</v>
      </c>
      <c r="J825" s="257">
        <f t="shared" si="460"/>
        <v>133.80000000000001</v>
      </c>
      <c r="K825" s="257">
        <f>K826</f>
        <v>0</v>
      </c>
      <c r="L825" s="257">
        <f>L826</f>
        <v>202.9</v>
      </c>
      <c r="M825" s="257">
        <f t="shared" ref="M825:N825" si="464">M826</f>
        <v>-10.5</v>
      </c>
      <c r="N825" s="257">
        <f t="shared" si="464"/>
        <v>192.4</v>
      </c>
    </row>
    <row r="826" spans="1:14" ht="20.25" customHeight="1" x14ac:dyDescent="0.2">
      <c r="A826" s="377" t="s">
        <v>1027</v>
      </c>
      <c r="B826" s="271">
        <v>801</v>
      </c>
      <c r="C826" s="252" t="s">
        <v>196</v>
      </c>
      <c r="D826" s="252" t="s">
        <v>198</v>
      </c>
      <c r="E826" s="252" t="s">
        <v>797</v>
      </c>
      <c r="F826" s="252" t="s">
        <v>57</v>
      </c>
      <c r="G826" s="256"/>
      <c r="H826" s="257">
        <v>133.80000000000001</v>
      </c>
      <c r="I826" s="257">
        <v>0</v>
      </c>
      <c r="J826" s="257">
        <f t="shared" si="460"/>
        <v>133.80000000000001</v>
      </c>
      <c r="K826" s="257">
        <v>0</v>
      </c>
      <c r="L826" s="257">
        <v>202.9</v>
      </c>
      <c r="M826" s="257">
        <v>-10.5</v>
      </c>
      <c r="N826" s="257">
        <f>L826+M826</f>
        <v>192.4</v>
      </c>
    </row>
    <row r="827" spans="1:14" ht="15.75" hidden="1" customHeight="1" x14ac:dyDescent="0.2">
      <c r="A827" s="378" t="s">
        <v>218</v>
      </c>
      <c r="B827" s="249">
        <v>801</v>
      </c>
      <c r="C827" s="250" t="s">
        <v>196</v>
      </c>
      <c r="D827" s="250" t="s">
        <v>200</v>
      </c>
      <c r="E827" s="250"/>
      <c r="F827" s="250"/>
      <c r="G827" s="275">
        <f>G831+G833+G834</f>
        <v>0</v>
      </c>
      <c r="H827" s="275">
        <f>H831+H833+H834+H828</f>
        <v>2750.5699999999997</v>
      </c>
      <c r="I827" s="275">
        <f>I831+I833+I834+I828</f>
        <v>-1901.66</v>
      </c>
      <c r="J827" s="275">
        <f>H827+I827</f>
        <v>848.90999999999963</v>
      </c>
      <c r="K827" s="275">
        <f>K831+K833+K834+K828+K829</f>
        <v>8779.4</v>
      </c>
      <c r="L827" s="275">
        <f>L831+L833+L834+L828+L829</f>
        <v>-2044.5</v>
      </c>
      <c r="M827" s="275"/>
      <c r="N827" s="275">
        <f>N831+N833+N834+N828+N829</f>
        <v>0</v>
      </c>
    </row>
    <row r="828" spans="1:14" ht="19.5" hidden="1" customHeight="1" x14ac:dyDescent="0.2">
      <c r="A828" s="259" t="s">
        <v>521</v>
      </c>
      <c r="B828" s="271">
        <v>801</v>
      </c>
      <c r="C828" s="252" t="s">
        <v>196</v>
      </c>
      <c r="D828" s="252" t="s">
        <v>200</v>
      </c>
      <c r="E828" s="252" t="s">
        <v>821</v>
      </c>
      <c r="F828" s="252" t="s">
        <v>79</v>
      </c>
      <c r="G828" s="366"/>
      <c r="H828" s="275"/>
      <c r="I828" s="257">
        <v>142.84</v>
      </c>
      <c r="J828" s="257">
        <f>H828+I828</f>
        <v>142.84</v>
      </c>
      <c r="K828" s="257">
        <v>0</v>
      </c>
      <c r="L828" s="257">
        <v>0</v>
      </c>
      <c r="M828" s="257"/>
      <c r="N828" s="257">
        <v>0</v>
      </c>
    </row>
    <row r="829" spans="1:14" ht="19.5" hidden="1" customHeight="1" x14ac:dyDescent="0.2">
      <c r="A829" s="259" t="s">
        <v>923</v>
      </c>
      <c r="B829" s="271">
        <v>801</v>
      </c>
      <c r="C829" s="252" t="s">
        <v>196</v>
      </c>
      <c r="D829" s="252" t="s">
        <v>200</v>
      </c>
      <c r="E829" s="252" t="s">
        <v>922</v>
      </c>
      <c r="F829" s="252"/>
      <c r="G829" s="366"/>
      <c r="H829" s="275"/>
      <c r="I829" s="257"/>
      <c r="J829" s="257"/>
      <c r="K829" s="257">
        <f>K830</f>
        <v>9011.1</v>
      </c>
      <c r="L829" s="257">
        <f>L830</f>
        <v>0</v>
      </c>
      <c r="M829" s="257"/>
      <c r="N829" s="257">
        <f>N830</f>
        <v>0</v>
      </c>
    </row>
    <row r="830" spans="1:14" ht="19.5" hidden="1" customHeight="1" x14ac:dyDescent="0.2">
      <c r="A830" s="259" t="s">
        <v>921</v>
      </c>
      <c r="B830" s="271">
        <v>801</v>
      </c>
      <c r="C830" s="252" t="s">
        <v>196</v>
      </c>
      <c r="D830" s="252" t="s">
        <v>200</v>
      </c>
      <c r="E830" s="252" t="s">
        <v>922</v>
      </c>
      <c r="F830" s="252" t="s">
        <v>102</v>
      </c>
      <c r="G830" s="366"/>
      <c r="H830" s="275"/>
      <c r="I830" s="257"/>
      <c r="J830" s="257"/>
      <c r="K830" s="257">
        <v>9011.1</v>
      </c>
      <c r="L830" s="257">
        <v>0</v>
      </c>
      <c r="M830" s="257"/>
      <c r="N830" s="257">
        <v>0</v>
      </c>
    </row>
    <row r="831" spans="1:14" ht="63.75" hidden="1" customHeight="1" x14ac:dyDescent="0.2">
      <c r="A831" s="259" t="s">
        <v>837</v>
      </c>
      <c r="B831" s="271">
        <v>801</v>
      </c>
      <c r="C831" s="252" t="s">
        <v>196</v>
      </c>
      <c r="D831" s="252" t="s">
        <v>200</v>
      </c>
      <c r="E831" s="252" t="s">
        <v>838</v>
      </c>
      <c r="F831" s="252"/>
      <c r="G831" s="256"/>
      <c r="H831" s="257">
        <f>H832</f>
        <v>671.8</v>
      </c>
      <c r="I831" s="257">
        <f>I832</f>
        <v>0</v>
      </c>
      <c r="J831" s="257">
        <f>H831+I831</f>
        <v>671.8</v>
      </c>
      <c r="K831" s="257">
        <f>K832</f>
        <v>-231.7</v>
      </c>
      <c r="L831" s="257">
        <f>L832</f>
        <v>0</v>
      </c>
      <c r="M831" s="257"/>
      <c r="N831" s="257">
        <f>N832</f>
        <v>0</v>
      </c>
    </row>
    <row r="832" spans="1:14" ht="20.25" hidden="1" customHeight="1" x14ac:dyDescent="0.2">
      <c r="A832" s="259" t="s">
        <v>921</v>
      </c>
      <c r="B832" s="271">
        <v>801</v>
      </c>
      <c r="C832" s="252" t="s">
        <v>196</v>
      </c>
      <c r="D832" s="252" t="s">
        <v>200</v>
      </c>
      <c r="E832" s="252" t="s">
        <v>838</v>
      </c>
      <c r="F832" s="252" t="s">
        <v>102</v>
      </c>
      <c r="G832" s="256"/>
      <c r="H832" s="257">
        <v>671.8</v>
      </c>
      <c r="I832" s="257">
        <v>0</v>
      </c>
      <c r="J832" s="257">
        <f>H832+I832</f>
        <v>671.8</v>
      </c>
      <c r="K832" s="257">
        <v>-231.7</v>
      </c>
      <c r="L832" s="257">
        <v>0</v>
      </c>
      <c r="M832" s="257"/>
      <c r="N832" s="257">
        <v>0</v>
      </c>
    </row>
    <row r="833" spans="1:14" ht="26.25" hidden="1" customHeight="1" x14ac:dyDescent="0.2">
      <c r="A833" s="259" t="s">
        <v>921</v>
      </c>
      <c r="B833" s="271">
        <v>801</v>
      </c>
      <c r="C833" s="252" t="s">
        <v>196</v>
      </c>
      <c r="D833" s="252" t="s">
        <v>200</v>
      </c>
      <c r="E833" s="252" t="s">
        <v>861</v>
      </c>
      <c r="F833" s="252" t="s">
        <v>79</v>
      </c>
      <c r="G833" s="256"/>
      <c r="H833" s="257">
        <v>34.270000000000003</v>
      </c>
      <c r="I833" s="257">
        <v>0</v>
      </c>
      <c r="J833" s="257">
        <f>H833+I833</f>
        <v>34.270000000000003</v>
      </c>
      <c r="K833" s="257">
        <v>0</v>
      </c>
      <c r="L833" s="257">
        <v>0</v>
      </c>
      <c r="M833" s="257"/>
      <c r="N833" s="257">
        <v>0</v>
      </c>
    </row>
    <row r="834" spans="1:14" ht="56.25" hidden="1" customHeight="1" x14ac:dyDescent="0.2">
      <c r="A834" s="259" t="s">
        <v>921</v>
      </c>
      <c r="B834" s="271">
        <v>801</v>
      </c>
      <c r="C834" s="252" t="s">
        <v>196</v>
      </c>
      <c r="D834" s="252" t="s">
        <v>200</v>
      </c>
      <c r="E834" s="252" t="s">
        <v>882</v>
      </c>
      <c r="F834" s="252" t="s">
        <v>79</v>
      </c>
      <c r="G834" s="256"/>
      <c r="H834" s="257">
        <v>2044.5</v>
      </c>
      <c r="I834" s="257">
        <v>-2044.5</v>
      </c>
      <c r="J834" s="275">
        <f>H834+I834</f>
        <v>0</v>
      </c>
      <c r="K834" s="257">
        <v>0</v>
      </c>
      <c r="L834" s="275">
        <f>I834+J834</f>
        <v>-2044.5</v>
      </c>
      <c r="M834" s="275"/>
      <c r="N834" s="275">
        <f>J834+K834</f>
        <v>0</v>
      </c>
    </row>
    <row r="835" spans="1:14" ht="56.25" hidden="1" customHeight="1" x14ac:dyDescent="0.2">
      <c r="A835" s="259" t="s">
        <v>921</v>
      </c>
      <c r="B835" s="271">
        <v>801</v>
      </c>
      <c r="C835" s="252" t="s">
        <v>196</v>
      </c>
      <c r="D835" s="252" t="s">
        <v>200</v>
      </c>
      <c r="E835" s="252" t="s">
        <v>838</v>
      </c>
      <c r="F835" s="252" t="s">
        <v>102</v>
      </c>
      <c r="G835" s="256"/>
      <c r="H835" s="257">
        <v>671.8</v>
      </c>
      <c r="I835" s="257">
        <v>0</v>
      </c>
      <c r="J835" s="275">
        <v>0</v>
      </c>
      <c r="K835" s="257">
        <v>0</v>
      </c>
      <c r="L835" s="275">
        <f>I835+J835</f>
        <v>0</v>
      </c>
      <c r="M835" s="275"/>
      <c r="N835" s="275">
        <f>J835+K835</f>
        <v>0</v>
      </c>
    </row>
    <row r="836" spans="1:14" ht="17.25" customHeight="1" x14ac:dyDescent="0.2">
      <c r="A836" s="398" t="s">
        <v>374</v>
      </c>
      <c r="B836" s="250" t="s">
        <v>146</v>
      </c>
      <c r="C836" s="250" t="s">
        <v>196</v>
      </c>
      <c r="D836" s="250" t="s">
        <v>212</v>
      </c>
      <c r="E836" s="250"/>
      <c r="F836" s="250"/>
      <c r="G836" s="257" t="e">
        <f>#REF!+G837</f>
        <v>#REF!</v>
      </c>
      <c r="H836" s="257">
        <f t="shared" ref="H836:N836" si="465">H837</f>
        <v>3319.6</v>
      </c>
      <c r="I836" s="257">
        <f t="shared" si="465"/>
        <v>-495.14</v>
      </c>
      <c r="J836" s="257">
        <f t="shared" si="465"/>
        <v>2824.46</v>
      </c>
      <c r="K836" s="257">
        <f t="shared" si="465"/>
        <v>-955.1640000000001</v>
      </c>
      <c r="L836" s="275">
        <f t="shared" si="465"/>
        <v>5024.79</v>
      </c>
      <c r="M836" s="275">
        <f t="shared" si="465"/>
        <v>-974.59</v>
      </c>
      <c r="N836" s="275">
        <f t="shared" si="465"/>
        <v>4050.2</v>
      </c>
    </row>
    <row r="837" spans="1:14" ht="24" customHeight="1" x14ac:dyDescent="0.2">
      <c r="A837" s="259" t="s">
        <v>722</v>
      </c>
      <c r="B837" s="271">
        <v>801</v>
      </c>
      <c r="C837" s="252" t="s">
        <v>196</v>
      </c>
      <c r="D837" s="252" t="s">
        <v>212</v>
      </c>
      <c r="E837" s="252" t="s">
        <v>849</v>
      </c>
      <c r="F837" s="252"/>
      <c r="G837" s="256"/>
      <c r="H837" s="257">
        <f>H839</f>
        <v>3319.6</v>
      </c>
      <c r="I837" s="257">
        <f>I839</f>
        <v>-495.14</v>
      </c>
      <c r="J837" s="257">
        <f>H837+I837</f>
        <v>2824.46</v>
      </c>
      <c r="K837" s="257">
        <f>K839+K838</f>
        <v>-955.1640000000001</v>
      </c>
      <c r="L837" s="257">
        <f>L839+L838</f>
        <v>5024.79</v>
      </c>
      <c r="M837" s="257">
        <f t="shared" ref="M837:N837" si="466">M839+M838</f>
        <v>-974.59</v>
      </c>
      <c r="N837" s="257">
        <f t="shared" si="466"/>
        <v>4050.2</v>
      </c>
    </row>
    <row r="838" spans="1:14" ht="24" customHeight="1" x14ac:dyDescent="0.2">
      <c r="A838" s="259" t="s">
        <v>93</v>
      </c>
      <c r="B838" s="271">
        <v>801</v>
      </c>
      <c r="C838" s="252" t="s">
        <v>196</v>
      </c>
      <c r="D838" s="252" t="s">
        <v>212</v>
      </c>
      <c r="E838" s="252" t="s">
        <v>849</v>
      </c>
      <c r="F838" s="252" t="s">
        <v>94</v>
      </c>
      <c r="G838" s="256"/>
      <c r="H838" s="257"/>
      <c r="I838" s="257"/>
      <c r="J838" s="257"/>
      <c r="K838" s="257">
        <v>328.71600000000001</v>
      </c>
      <c r="L838" s="257">
        <v>5024.79</v>
      </c>
      <c r="M838" s="257">
        <v>-974.59</v>
      </c>
      <c r="N838" s="257">
        <f>L838+M838</f>
        <v>4050.2</v>
      </c>
    </row>
    <row r="839" spans="1:14" ht="17.25" hidden="1" customHeight="1" x14ac:dyDescent="0.2">
      <c r="A839" s="259" t="s">
        <v>78</v>
      </c>
      <c r="B839" s="271">
        <v>801</v>
      </c>
      <c r="C839" s="252" t="s">
        <v>196</v>
      </c>
      <c r="D839" s="252" t="s">
        <v>212</v>
      </c>
      <c r="E839" s="252" t="s">
        <v>849</v>
      </c>
      <c r="F839" s="252" t="s">
        <v>79</v>
      </c>
      <c r="G839" s="256"/>
      <c r="H839" s="257">
        <v>3319.6</v>
      </c>
      <c r="I839" s="257">
        <v>-495.14</v>
      </c>
      <c r="J839" s="257">
        <f>H839+I839</f>
        <v>2824.46</v>
      </c>
      <c r="K839" s="257">
        <v>-1283.8800000000001</v>
      </c>
      <c r="L839" s="257">
        <v>0</v>
      </c>
      <c r="M839" s="257"/>
      <c r="N839" s="257">
        <v>0</v>
      </c>
    </row>
    <row r="840" spans="1:14" ht="18.75" customHeight="1" x14ac:dyDescent="0.2">
      <c r="A840" s="398" t="s">
        <v>220</v>
      </c>
      <c r="B840" s="250" t="s">
        <v>146</v>
      </c>
      <c r="C840" s="250" t="s">
        <v>196</v>
      </c>
      <c r="D840" s="250">
        <v>12</v>
      </c>
      <c r="E840" s="250"/>
      <c r="F840" s="250"/>
      <c r="G840" s="257" t="e">
        <f>#REF!+#REF!+#REF!+#REF!+#REF!+G841+G845+G848</f>
        <v>#REF!</v>
      </c>
      <c r="H840" s="257">
        <f>H841+H845+H848</f>
        <v>9410</v>
      </c>
      <c r="I840" s="257">
        <f>I841+I845+I848</f>
        <v>-749.37999999999988</v>
      </c>
      <c r="J840" s="257">
        <f>J841+J845+J848</f>
        <v>8660.619999999999</v>
      </c>
      <c r="K840" s="257">
        <f>K841+K845+K848</f>
        <v>-3495.14</v>
      </c>
      <c r="L840" s="275">
        <f>L841+L845+L848+L847</f>
        <v>7413.8899999999994</v>
      </c>
      <c r="M840" s="275">
        <f t="shared" ref="M840:N840" si="467">M841+M845+M848+M847</f>
        <v>-2383.8900000000003</v>
      </c>
      <c r="N840" s="275">
        <f t="shared" si="467"/>
        <v>5030</v>
      </c>
    </row>
    <row r="841" spans="1:14" s="20" customFormat="1" ht="43.5" customHeight="1" x14ac:dyDescent="0.2">
      <c r="A841" s="259" t="s">
        <v>1006</v>
      </c>
      <c r="B841" s="252" t="s">
        <v>146</v>
      </c>
      <c r="C841" s="252" t="s">
        <v>196</v>
      </c>
      <c r="D841" s="252" t="s">
        <v>205</v>
      </c>
      <c r="E841" s="252" t="s">
        <v>824</v>
      </c>
      <c r="F841" s="252"/>
      <c r="G841" s="256"/>
      <c r="H841" s="257">
        <f>H842+H843+H844</f>
        <v>6550</v>
      </c>
      <c r="I841" s="257">
        <f>I842+I843+I844</f>
        <v>-1212.8399999999999</v>
      </c>
      <c r="J841" s="257">
        <f>H841+I841</f>
        <v>5337.16</v>
      </c>
      <c r="K841" s="257">
        <f>K842+K843+K844</f>
        <v>-3495.14</v>
      </c>
      <c r="L841" s="257">
        <f>L842+L843+L844</f>
        <v>3381.89</v>
      </c>
      <c r="M841" s="257">
        <f t="shared" ref="M841:N841" si="468">M842+M843+M844</f>
        <v>-2361.8900000000003</v>
      </c>
      <c r="N841" s="257">
        <f t="shared" si="468"/>
        <v>1019.9999999999998</v>
      </c>
    </row>
    <row r="842" spans="1:14" s="20" customFormat="1" ht="20.25" customHeight="1" x14ac:dyDescent="0.2">
      <c r="A842" s="259" t="s">
        <v>519</v>
      </c>
      <c r="B842" s="252" t="s">
        <v>146</v>
      </c>
      <c r="C842" s="252" t="s">
        <v>196</v>
      </c>
      <c r="D842" s="252" t="s">
        <v>205</v>
      </c>
      <c r="E842" s="252" t="s">
        <v>823</v>
      </c>
      <c r="F842" s="252" t="s">
        <v>94</v>
      </c>
      <c r="G842" s="256"/>
      <c r="H842" s="257">
        <v>250</v>
      </c>
      <c r="I842" s="257">
        <v>0</v>
      </c>
      <c r="J842" s="257">
        <f t="shared" ref="J842:J849" si="469">H842+I842</f>
        <v>250</v>
      </c>
      <c r="K842" s="257">
        <v>0</v>
      </c>
      <c r="L842" s="257">
        <v>200</v>
      </c>
      <c r="M842" s="257">
        <v>-190</v>
      </c>
      <c r="N842" s="257">
        <f>L842+M842</f>
        <v>10</v>
      </c>
    </row>
    <row r="843" spans="1:14" s="20" customFormat="1" ht="18.75" customHeight="1" x14ac:dyDescent="0.2">
      <c r="A843" s="259" t="s">
        <v>520</v>
      </c>
      <c r="B843" s="252" t="s">
        <v>146</v>
      </c>
      <c r="C843" s="252" t="s">
        <v>196</v>
      </c>
      <c r="D843" s="252" t="s">
        <v>205</v>
      </c>
      <c r="E843" s="252" t="s">
        <v>822</v>
      </c>
      <c r="F843" s="252" t="s">
        <v>79</v>
      </c>
      <c r="G843" s="256"/>
      <c r="H843" s="257">
        <v>300</v>
      </c>
      <c r="I843" s="257">
        <v>0</v>
      </c>
      <c r="J843" s="257">
        <f t="shared" si="469"/>
        <v>300</v>
      </c>
      <c r="K843" s="257">
        <v>0</v>
      </c>
      <c r="L843" s="257">
        <v>240</v>
      </c>
      <c r="M843" s="257">
        <v>-230</v>
      </c>
      <c r="N843" s="257">
        <f t="shared" ref="N843:N844" si="470">L843+M843</f>
        <v>10</v>
      </c>
    </row>
    <row r="844" spans="1:14" s="20" customFormat="1" ht="27.75" customHeight="1" x14ac:dyDescent="0.2">
      <c r="A844" s="259" t="s">
        <v>521</v>
      </c>
      <c r="B844" s="252" t="s">
        <v>146</v>
      </c>
      <c r="C844" s="252" t="s">
        <v>196</v>
      </c>
      <c r="D844" s="252" t="s">
        <v>205</v>
      </c>
      <c r="E844" s="252" t="s">
        <v>821</v>
      </c>
      <c r="F844" s="252" t="s">
        <v>79</v>
      </c>
      <c r="G844" s="256"/>
      <c r="H844" s="257">
        <v>6000</v>
      </c>
      <c r="I844" s="257">
        <f>-1000-20-50-142.84</f>
        <v>-1212.8399999999999</v>
      </c>
      <c r="J844" s="257">
        <f t="shared" si="469"/>
        <v>4787.16</v>
      </c>
      <c r="K844" s="257">
        <v>-3495.14</v>
      </c>
      <c r="L844" s="257">
        <v>2941.89</v>
      </c>
      <c r="M844" s="257">
        <v>-1941.89</v>
      </c>
      <c r="N844" s="257">
        <f t="shared" si="470"/>
        <v>999.99999999999977</v>
      </c>
    </row>
    <row r="845" spans="1:14" s="20" customFormat="1" ht="27.75" customHeight="1" x14ac:dyDescent="0.2">
      <c r="A845" s="259" t="s">
        <v>723</v>
      </c>
      <c r="B845" s="252" t="s">
        <v>146</v>
      </c>
      <c r="C845" s="252" t="s">
        <v>196</v>
      </c>
      <c r="D845" s="252" t="s">
        <v>205</v>
      </c>
      <c r="E845" s="252" t="s">
        <v>820</v>
      </c>
      <c r="F845" s="252"/>
      <c r="G845" s="256"/>
      <c r="H845" s="257">
        <f>H846</f>
        <v>100</v>
      </c>
      <c r="I845" s="257">
        <f>I846</f>
        <v>0</v>
      </c>
      <c r="J845" s="257">
        <f t="shared" si="469"/>
        <v>100</v>
      </c>
      <c r="K845" s="257">
        <f>K846</f>
        <v>0</v>
      </c>
      <c r="L845" s="257">
        <f>L846</f>
        <v>50</v>
      </c>
      <c r="M845" s="257">
        <f t="shared" ref="M845:N845" si="471">M846</f>
        <v>-40</v>
      </c>
      <c r="N845" s="257">
        <f t="shared" si="471"/>
        <v>10</v>
      </c>
    </row>
    <row r="846" spans="1:14" s="20" customFormat="1" ht="18" customHeight="1" x14ac:dyDescent="0.2">
      <c r="A846" s="259" t="s">
        <v>93</v>
      </c>
      <c r="B846" s="252" t="s">
        <v>146</v>
      </c>
      <c r="C846" s="252" t="s">
        <v>196</v>
      </c>
      <c r="D846" s="252" t="s">
        <v>205</v>
      </c>
      <c r="E846" s="252" t="s">
        <v>820</v>
      </c>
      <c r="F846" s="252" t="s">
        <v>94</v>
      </c>
      <c r="G846" s="256"/>
      <c r="H846" s="257">
        <v>100</v>
      </c>
      <c r="I846" s="257">
        <v>0</v>
      </c>
      <c r="J846" s="257">
        <f t="shared" si="469"/>
        <v>100</v>
      </c>
      <c r="K846" s="257">
        <v>0</v>
      </c>
      <c r="L846" s="257">
        <v>50</v>
      </c>
      <c r="M846" s="257">
        <v>-40</v>
      </c>
      <c r="N846" s="257">
        <f>L846+M846</f>
        <v>10</v>
      </c>
    </row>
    <row r="847" spans="1:14" s="20" customFormat="1" ht="39" customHeight="1" x14ac:dyDescent="0.2">
      <c r="A847" s="259" t="s">
        <v>1015</v>
      </c>
      <c r="B847" s="252" t="s">
        <v>146</v>
      </c>
      <c r="C847" s="252" t="s">
        <v>196</v>
      </c>
      <c r="D847" s="252" t="s">
        <v>205</v>
      </c>
      <c r="E847" s="252" t="s">
        <v>1008</v>
      </c>
      <c r="F847" s="252" t="s">
        <v>94</v>
      </c>
      <c r="G847" s="256"/>
      <c r="H847" s="257"/>
      <c r="I847" s="257"/>
      <c r="J847" s="257"/>
      <c r="K847" s="257"/>
      <c r="L847" s="257">
        <v>700</v>
      </c>
      <c r="M847" s="257">
        <v>0</v>
      </c>
      <c r="N847" s="257">
        <f>L847+M847</f>
        <v>700</v>
      </c>
    </row>
    <row r="848" spans="1:14" s="20" customFormat="1" ht="30.75" customHeight="1" x14ac:dyDescent="0.2">
      <c r="A848" s="259" t="s">
        <v>521</v>
      </c>
      <c r="B848" s="252" t="s">
        <v>146</v>
      </c>
      <c r="C848" s="252" t="s">
        <v>196</v>
      </c>
      <c r="D848" s="252" t="s">
        <v>205</v>
      </c>
      <c r="E848" s="252" t="s">
        <v>819</v>
      </c>
      <c r="F848" s="252"/>
      <c r="G848" s="256"/>
      <c r="H848" s="257">
        <f>H849</f>
        <v>2760</v>
      </c>
      <c r="I848" s="257">
        <f>I849</f>
        <v>463.46</v>
      </c>
      <c r="J848" s="257">
        <f t="shared" si="469"/>
        <v>3223.46</v>
      </c>
      <c r="K848" s="257">
        <f>K849</f>
        <v>0</v>
      </c>
      <c r="L848" s="257">
        <f>L849</f>
        <v>3282</v>
      </c>
      <c r="M848" s="257">
        <f t="shared" ref="M848:N848" si="472">M849</f>
        <v>18</v>
      </c>
      <c r="N848" s="257">
        <f t="shared" si="472"/>
        <v>3300</v>
      </c>
    </row>
    <row r="849" spans="1:14" s="20" customFormat="1" ht="31.5" customHeight="1" x14ac:dyDescent="0.2">
      <c r="A849" s="259" t="s">
        <v>76</v>
      </c>
      <c r="B849" s="252" t="s">
        <v>146</v>
      </c>
      <c r="C849" s="252" t="s">
        <v>196</v>
      </c>
      <c r="D849" s="252" t="s">
        <v>205</v>
      </c>
      <c r="E849" s="252" t="s">
        <v>819</v>
      </c>
      <c r="F849" s="252" t="s">
        <v>77</v>
      </c>
      <c r="G849" s="256"/>
      <c r="H849" s="257">
        <v>2760</v>
      </c>
      <c r="I849" s="257">
        <v>463.46</v>
      </c>
      <c r="J849" s="257">
        <f t="shared" si="469"/>
        <v>3223.46</v>
      </c>
      <c r="K849" s="257">
        <v>0</v>
      </c>
      <c r="L849" s="257">
        <v>3282</v>
      </c>
      <c r="M849" s="257">
        <v>18</v>
      </c>
      <c r="N849" s="257">
        <f>L849+M849</f>
        <v>3300</v>
      </c>
    </row>
    <row r="850" spans="1:14" s="19" customFormat="1" ht="14.25" x14ac:dyDescent="0.2">
      <c r="A850" s="398" t="s">
        <v>367</v>
      </c>
      <c r="B850" s="250" t="s">
        <v>146</v>
      </c>
      <c r="C850" s="250" t="s">
        <v>198</v>
      </c>
      <c r="D850" s="250"/>
      <c r="E850" s="250"/>
      <c r="F850" s="250"/>
      <c r="G850" s="264"/>
      <c r="H850" s="275">
        <f>H851+H858</f>
        <v>19347.54</v>
      </c>
      <c r="I850" s="275">
        <f>I858+I851</f>
        <v>15945.16</v>
      </c>
      <c r="J850" s="275">
        <f>J858+J851</f>
        <v>35292.699999999997</v>
      </c>
      <c r="K850" s="275">
        <f>K858+K851</f>
        <v>22489.670000000002</v>
      </c>
      <c r="L850" s="275">
        <f>L858+L936</f>
        <v>2347.6999999999998</v>
      </c>
      <c r="M850" s="275">
        <f>M858+M936+M851</f>
        <v>-653.10000000000014</v>
      </c>
      <c r="N850" s="275">
        <f>N858+N936+N851</f>
        <v>1694.6</v>
      </c>
    </row>
    <row r="851" spans="1:14" s="19" customFormat="1" ht="14.25" hidden="1" x14ac:dyDescent="0.2">
      <c r="A851" s="398" t="s">
        <v>222</v>
      </c>
      <c r="B851" s="250" t="s">
        <v>146</v>
      </c>
      <c r="C851" s="250" t="s">
        <v>198</v>
      </c>
      <c r="D851" s="250" t="s">
        <v>190</v>
      </c>
      <c r="E851" s="250"/>
      <c r="F851" s="250"/>
      <c r="G851" s="264">
        <v>0</v>
      </c>
      <c r="H851" s="275">
        <f>H854+H856</f>
        <v>12242.54</v>
      </c>
      <c r="I851" s="275">
        <f>I854+I856</f>
        <v>2798.58</v>
      </c>
      <c r="J851" s="275">
        <f>J854+J856</f>
        <v>15041.119999999999</v>
      </c>
      <c r="K851" s="275">
        <f>K854+K856+K852</f>
        <v>4416.32</v>
      </c>
      <c r="L851" s="275">
        <f>L854+L856+L852</f>
        <v>0</v>
      </c>
      <c r="M851" s="275">
        <f t="shared" ref="M851:N851" si="473">M854+M856+M852</f>
        <v>0</v>
      </c>
      <c r="N851" s="275">
        <f t="shared" si="473"/>
        <v>0</v>
      </c>
    </row>
    <row r="852" spans="1:14" s="20" customFormat="1" ht="30" hidden="1" x14ac:dyDescent="0.2">
      <c r="A852" s="259" t="s">
        <v>933</v>
      </c>
      <c r="B852" s="252" t="s">
        <v>146</v>
      </c>
      <c r="C852" s="252" t="s">
        <v>198</v>
      </c>
      <c r="D852" s="252" t="s">
        <v>190</v>
      </c>
      <c r="E852" s="252" t="s">
        <v>924</v>
      </c>
      <c r="F852" s="252"/>
      <c r="G852" s="256"/>
      <c r="H852" s="257"/>
      <c r="I852" s="257"/>
      <c r="J852" s="257"/>
      <c r="K852" s="257">
        <f>K853</f>
        <v>8101.4</v>
      </c>
      <c r="L852" s="257">
        <f>L853</f>
        <v>0</v>
      </c>
      <c r="M852" s="257">
        <f t="shared" ref="M852:N852" si="474">M853</f>
        <v>0</v>
      </c>
      <c r="N852" s="257">
        <f t="shared" si="474"/>
        <v>0</v>
      </c>
    </row>
    <row r="853" spans="1:14" s="20" customFormat="1" ht="30" hidden="1" x14ac:dyDescent="0.2">
      <c r="A853" s="259" t="s">
        <v>885</v>
      </c>
      <c r="B853" s="252" t="s">
        <v>146</v>
      </c>
      <c r="C853" s="252" t="s">
        <v>198</v>
      </c>
      <c r="D853" s="252" t="s">
        <v>190</v>
      </c>
      <c r="E853" s="252" t="s">
        <v>924</v>
      </c>
      <c r="F853" s="252" t="s">
        <v>886</v>
      </c>
      <c r="G853" s="256"/>
      <c r="H853" s="257"/>
      <c r="I853" s="257"/>
      <c r="J853" s="257"/>
      <c r="K853" s="257">
        <v>8101.4</v>
      </c>
      <c r="L853" s="257">
        <v>0</v>
      </c>
      <c r="M853" s="257">
        <v>0</v>
      </c>
      <c r="N853" s="257">
        <f>L853+M853</f>
        <v>0</v>
      </c>
    </row>
    <row r="854" spans="1:14" s="19" customFormat="1" ht="48" hidden="1" customHeight="1" x14ac:dyDescent="0.2">
      <c r="A854" s="259" t="s">
        <v>889</v>
      </c>
      <c r="B854" s="252" t="s">
        <v>146</v>
      </c>
      <c r="C854" s="252" t="s">
        <v>198</v>
      </c>
      <c r="D854" s="252" t="s">
        <v>190</v>
      </c>
      <c r="E854" s="252" t="s">
        <v>1029</v>
      </c>
      <c r="F854" s="252"/>
      <c r="G854" s="256"/>
      <c r="H854" s="257">
        <f>H855</f>
        <v>134.54</v>
      </c>
      <c r="I854" s="257">
        <f>I855</f>
        <v>517.09</v>
      </c>
      <c r="J854" s="257">
        <f>H854+I854</f>
        <v>651.63</v>
      </c>
      <c r="K854" s="257">
        <f>K855</f>
        <v>0</v>
      </c>
      <c r="L854" s="257">
        <f>L855</f>
        <v>0</v>
      </c>
      <c r="M854" s="257">
        <f t="shared" ref="M854:N854" si="475">M855</f>
        <v>0</v>
      </c>
      <c r="N854" s="257">
        <f t="shared" si="475"/>
        <v>0</v>
      </c>
    </row>
    <row r="855" spans="1:14" s="19" customFormat="1" ht="30" hidden="1" x14ac:dyDescent="0.2">
      <c r="A855" s="259" t="s">
        <v>885</v>
      </c>
      <c r="B855" s="252" t="s">
        <v>146</v>
      </c>
      <c r="C855" s="252" t="s">
        <v>198</v>
      </c>
      <c r="D855" s="252" t="s">
        <v>190</v>
      </c>
      <c r="E855" s="252" t="s">
        <v>1029</v>
      </c>
      <c r="F855" s="252" t="s">
        <v>886</v>
      </c>
      <c r="G855" s="256"/>
      <c r="H855" s="257">
        <v>134.54</v>
      </c>
      <c r="I855" s="257">
        <v>517.09</v>
      </c>
      <c r="J855" s="257">
        <f>H855+I855</f>
        <v>651.63</v>
      </c>
      <c r="K855" s="257">
        <v>0</v>
      </c>
      <c r="L855" s="257">
        <v>0</v>
      </c>
      <c r="M855" s="257">
        <v>0</v>
      </c>
      <c r="N855" s="257">
        <f t="shared" ref="N855:N857" si="476">L855+M855</f>
        <v>0</v>
      </c>
    </row>
    <row r="856" spans="1:14" s="19" customFormat="1" ht="60" hidden="1" x14ac:dyDescent="0.2">
      <c r="A856" s="259" t="s">
        <v>891</v>
      </c>
      <c r="B856" s="252" t="s">
        <v>146</v>
      </c>
      <c r="C856" s="252" t="s">
        <v>198</v>
      </c>
      <c r="D856" s="252" t="s">
        <v>190</v>
      </c>
      <c r="E856" s="252" t="s">
        <v>890</v>
      </c>
      <c r="F856" s="252"/>
      <c r="G856" s="256"/>
      <c r="H856" s="257">
        <f t="shared" ref="H856:N856" si="477">H857</f>
        <v>12108</v>
      </c>
      <c r="I856" s="257">
        <f t="shared" si="477"/>
        <v>2281.4899999999998</v>
      </c>
      <c r="J856" s="257">
        <f t="shared" si="477"/>
        <v>14389.49</v>
      </c>
      <c r="K856" s="257">
        <f t="shared" si="477"/>
        <v>-3685.08</v>
      </c>
      <c r="L856" s="257">
        <f t="shared" si="477"/>
        <v>0</v>
      </c>
      <c r="M856" s="257">
        <f t="shared" si="477"/>
        <v>0</v>
      </c>
      <c r="N856" s="257">
        <f t="shared" si="477"/>
        <v>0</v>
      </c>
    </row>
    <row r="857" spans="1:14" s="19" customFormat="1" ht="30" hidden="1" x14ac:dyDescent="0.2">
      <c r="A857" s="259" t="s">
        <v>885</v>
      </c>
      <c r="B857" s="252" t="s">
        <v>146</v>
      </c>
      <c r="C857" s="252" t="s">
        <v>198</v>
      </c>
      <c r="D857" s="252" t="s">
        <v>190</v>
      </c>
      <c r="E857" s="252" t="s">
        <v>890</v>
      </c>
      <c r="F857" s="252" t="s">
        <v>886</v>
      </c>
      <c r="G857" s="256"/>
      <c r="H857" s="256">
        <v>12108</v>
      </c>
      <c r="I857" s="257">
        <v>2281.4899999999998</v>
      </c>
      <c r="J857" s="257">
        <f>H857+I857</f>
        <v>14389.49</v>
      </c>
      <c r="K857" s="257">
        <v>-3685.08</v>
      </c>
      <c r="L857" s="257">
        <v>0</v>
      </c>
      <c r="M857" s="257">
        <v>0</v>
      </c>
      <c r="N857" s="257">
        <f t="shared" si="476"/>
        <v>0</v>
      </c>
    </row>
    <row r="858" spans="1:14" ht="15" x14ac:dyDescent="0.2">
      <c r="A858" s="398" t="s">
        <v>223</v>
      </c>
      <c r="B858" s="250" t="s">
        <v>146</v>
      </c>
      <c r="C858" s="250" t="s">
        <v>198</v>
      </c>
      <c r="D858" s="250" t="s">
        <v>192</v>
      </c>
      <c r="E858" s="250"/>
      <c r="F858" s="250"/>
      <c r="G858" s="257">
        <f>G859+G861+G914+G932</f>
        <v>0</v>
      </c>
      <c r="H858" s="275">
        <f t="shared" ref="H858:K858" si="478">H914</f>
        <v>7105</v>
      </c>
      <c r="I858" s="275">
        <f t="shared" si="478"/>
        <v>13146.58</v>
      </c>
      <c r="J858" s="275">
        <f t="shared" si="478"/>
        <v>20251.580000000002</v>
      </c>
      <c r="K858" s="275">
        <f t="shared" si="478"/>
        <v>18073.350000000002</v>
      </c>
      <c r="L858" s="275">
        <f>L914</f>
        <v>2200</v>
      </c>
      <c r="M858" s="275">
        <f t="shared" ref="M858:N858" si="479">M914</f>
        <v>-505.40000000000009</v>
      </c>
      <c r="N858" s="275">
        <f t="shared" si="479"/>
        <v>1694.6</v>
      </c>
    </row>
    <row r="859" spans="1:14" ht="25.5" hidden="1" customHeight="1" x14ac:dyDescent="0.2">
      <c r="A859" s="259" t="s">
        <v>523</v>
      </c>
      <c r="B859" s="252" t="s">
        <v>146</v>
      </c>
      <c r="C859" s="252" t="s">
        <v>198</v>
      </c>
      <c r="D859" s="252" t="s">
        <v>192</v>
      </c>
      <c r="E859" s="252" t="s">
        <v>743</v>
      </c>
      <c r="F859" s="252"/>
      <c r="G859" s="256"/>
      <c r="H859" s="256"/>
      <c r="I859" s="257">
        <f>I860</f>
        <v>-2200</v>
      </c>
      <c r="J859" s="257" t="e">
        <f>J860</f>
        <v>#REF!</v>
      </c>
      <c r="K859" s="257">
        <f>K860</f>
        <v>-2200</v>
      </c>
      <c r="L859" s="257" t="e">
        <f>L860</f>
        <v>#REF!</v>
      </c>
      <c r="M859" s="257" t="e">
        <f t="shared" ref="M859:N859" si="480">M860</f>
        <v>#REF!</v>
      </c>
      <c r="N859" s="257" t="e">
        <f t="shared" si="480"/>
        <v>#REF!</v>
      </c>
    </row>
    <row r="860" spans="1:14" ht="24" hidden="1" customHeight="1" x14ac:dyDescent="0.2">
      <c r="A860" s="259" t="s">
        <v>76</v>
      </c>
      <c r="B860" s="252" t="s">
        <v>146</v>
      </c>
      <c r="C860" s="252" t="s">
        <v>198</v>
      </c>
      <c r="D860" s="252" t="s">
        <v>192</v>
      </c>
      <c r="E860" s="252" t="s">
        <v>743</v>
      </c>
      <c r="F860" s="252" t="s">
        <v>77</v>
      </c>
      <c r="G860" s="256"/>
      <c r="H860" s="256"/>
      <c r="I860" s="257">
        <v>-2200</v>
      </c>
      <c r="J860" s="257" t="e">
        <f>#REF!+I860</f>
        <v>#REF!</v>
      </c>
      <c r="K860" s="257">
        <v>-2200</v>
      </c>
      <c r="L860" s="257" t="e">
        <f>#REF!+J860</f>
        <v>#REF!</v>
      </c>
      <c r="M860" s="257" t="e">
        <f>#REF!+K860</f>
        <v>#REF!</v>
      </c>
      <c r="N860" s="257" t="e">
        <f>#REF!+L860</f>
        <v>#REF!</v>
      </c>
    </row>
    <row r="861" spans="1:14" ht="55.5" hidden="1" customHeight="1" x14ac:dyDescent="0.2">
      <c r="A861" s="259" t="s">
        <v>984</v>
      </c>
      <c r="B861" s="252" t="s">
        <v>146</v>
      </c>
      <c r="C861" s="252" t="s">
        <v>198</v>
      </c>
      <c r="D861" s="252" t="s">
        <v>192</v>
      </c>
      <c r="E861" s="252" t="s">
        <v>457</v>
      </c>
      <c r="F861" s="250"/>
      <c r="G861" s="256"/>
      <c r="H861" s="256"/>
      <c r="I861" s="257">
        <f>I862+I864+I872</f>
        <v>-3650</v>
      </c>
      <c r="J861" s="257" t="e">
        <f>J862+J864+J872</f>
        <v>#REF!</v>
      </c>
      <c r="K861" s="257">
        <f>K862+K864+K872</f>
        <v>-3650</v>
      </c>
      <c r="L861" s="257" t="e">
        <f>L862+L864+L872</f>
        <v>#REF!</v>
      </c>
      <c r="M861" s="257" t="e">
        <f t="shared" ref="M861:N861" si="481">M862+M864+M872</f>
        <v>#REF!</v>
      </c>
      <c r="N861" s="257" t="e">
        <f t="shared" si="481"/>
        <v>#REF!</v>
      </c>
    </row>
    <row r="862" spans="1:14" s="20" customFormat="1" ht="15" hidden="1" x14ac:dyDescent="0.2">
      <c r="A862" s="259" t="s">
        <v>522</v>
      </c>
      <c r="B862" s="252" t="s">
        <v>146</v>
      </c>
      <c r="C862" s="252" t="s">
        <v>198</v>
      </c>
      <c r="D862" s="252" t="s">
        <v>192</v>
      </c>
      <c r="E862" s="252" t="s">
        <v>480</v>
      </c>
      <c r="F862" s="252"/>
      <c r="G862" s="256"/>
      <c r="H862" s="256"/>
      <c r="I862" s="257">
        <f>I863</f>
        <v>-550</v>
      </c>
      <c r="J862" s="257" t="e">
        <f>J863</f>
        <v>#REF!</v>
      </c>
      <c r="K862" s="257">
        <f>K863</f>
        <v>-550</v>
      </c>
      <c r="L862" s="257" t="e">
        <f>L863</f>
        <v>#REF!</v>
      </c>
      <c r="M862" s="257" t="e">
        <f t="shared" ref="M862:N862" si="482">M863</f>
        <v>#REF!</v>
      </c>
      <c r="N862" s="257" t="e">
        <f t="shared" si="482"/>
        <v>#REF!</v>
      </c>
    </row>
    <row r="863" spans="1:14" ht="24.75" hidden="1" customHeight="1" x14ac:dyDescent="0.2">
      <c r="A863" s="259" t="s">
        <v>93</v>
      </c>
      <c r="B863" s="252" t="s">
        <v>146</v>
      </c>
      <c r="C863" s="252" t="s">
        <v>198</v>
      </c>
      <c r="D863" s="252" t="s">
        <v>192</v>
      </c>
      <c r="E863" s="252" t="s">
        <v>480</v>
      </c>
      <c r="F863" s="252" t="s">
        <v>94</v>
      </c>
      <c r="G863" s="256"/>
      <c r="H863" s="256"/>
      <c r="I863" s="257">
        <v>-550</v>
      </c>
      <c r="J863" s="257" t="e">
        <f>#REF!+I863</f>
        <v>#REF!</v>
      </c>
      <c r="K863" s="257">
        <v>-550</v>
      </c>
      <c r="L863" s="257" t="e">
        <f>#REF!+J863</f>
        <v>#REF!</v>
      </c>
      <c r="M863" s="257" t="e">
        <f>#REF!+K863</f>
        <v>#REF!</v>
      </c>
      <c r="N863" s="257" t="e">
        <f>#REF!+L863</f>
        <v>#REF!</v>
      </c>
    </row>
    <row r="864" spans="1:14" ht="24.75" hidden="1" customHeight="1" x14ac:dyDescent="0.2">
      <c r="A864" s="259" t="s">
        <v>523</v>
      </c>
      <c r="B864" s="252" t="s">
        <v>146</v>
      </c>
      <c r="C864" s="252" t="s">
        <v>198</v>
      </c>
      <c r="D864" s="252" t="s">
        <v>192</v>
      </c>
      <c r="E864" s="252" t="s">
        <v>469</v>
      </c>
      <c r="F864" s="252"/>
      <c r="G864" s="256"/>
      <c r="H864" s="256"/>
      <c r="I864" s="257">
        <f>I865</f>
        <v>-1500</v>
      </c>
      <c r="J864" s="257" t="e">
        <f>J865</f>
        <v>#REF!</v>
      </c>
      <c r="K864" s="257">
        <f>K865</f>
        <v>-1500</v>
      </c>
      <c r="L864" s="257" t="e">
        <f>L865</f>
        <v>#REF!</v>
      </c>
      <c r="M864" s="257" t="e">
        <f t="shared" ref="M864:N864" si="483">M865</f>
        <v>#REF!</v>
      </c>
      <c r="N864" s="257" t="e">
        <f t="shared" si="483"/>
        <v>#REF!</v>
      </c>
    </row>
    <row r="865" spans="1:14" ht="24.75" hidden="1" customHeight="1" x14ac:dyDescent="0.2">
      <c r="A865" s="259" t="s">
        <v>93</v>
      </c>
      <c r="B865" s="252" t="s">
        <v>146</v>
      </c>
      <c r="C865" s="252" t="s">
        <v>198</v>
      </c>
      <c r="D865" s="252" t="s">
        <v>192</v>
      </c>
      <c r="E865" s="252" t="s">
        <v>469</v>
      </c>
      <c r="F865" s="252" t="s">
        <v>94</v>
      </c>
      <c r="G865" s="256"/>
      <c r="H865" s="256"/>
      <c r="I865" s="257">
        <v>-1500</v>
      </c>
      <c r="J865" s="257" t="e">
        <f>#REF!+I865</f>
        <v>#REF!</v>
      </c>
      <c r="K865" s="257">
        <v>-1500</v>
      </c>
      <c r="L865" s="257" t="e">
        <f>#REF!+J865</f>
        <v>#REF!</v>
      </c>
      <c r="M865" s="257" t="e">
        <f>#REF!+K865</f>
        <v>#REF!</v>
      </c>
      <c r="N865" s="257" t="e">
        <f>#REF!+L865</f>
        <v>#REF!</v>
      </c>
    </row>
    <row r="866" spans="1:14" ht="24.75" hidden="1" customHeight="1" x14ac:dyDescent="0.2">
      <c r="A866" s="259" t="s">
        <v>530</v>
      </c>
      <c r="B866" s="252" t="s">
        <v>146</v>
      </c>
      <c r="C866" s="252" t="s">
        <v>198</v>
      </c>
      <c r="D866" s="252" t="s">
        <v>192</v>
      </c>
      <c r="E866" s="252" t="s">
        <v>529</v>
      </c>
      <c r="F866" s="252"/>
      <c r="G866" s="256"/>
      <c r="H866" s="256"/>
      <c r="I866" s="257">
        <f>I867</f>
        <v>0</v>
      </c>
      <c r="J866" s="257">
        <f>J867</f>
        <v>0</v>
      </c>
      <c r="K866" s="257">
        <f>K867</f>
        <v>0</v>
      </c>
      <c r="L866" s="257">
        <f>L867</f>
        <v>0</v>
      </c>
      <c r="M866" s="257">
        <f t="shared" ref="M866:N866" si="484">M867</f>
        <v>0</v>
      </c>
      <c r="N866" s="257">
        <f t="shared" si="484"/>
        <v>0</v>
      </c>
    </row>
    <row r="867" spans="1:14" ht="24.75" hidden="1" customHeight="1" x14ac:dyDescent="0.2">
      <c r="A867" s="259" t="s">
        <v>93</v>
      </c>
      <c r="B867" s="252" t="s">
        <v>146</v>
      </c>
      <c r="C867" s="252" t="s">
        <v>198</v>
      </c>
      <c r="D867" s="252" t="s">
        <v>192</v>
      </c>
      <c r="E867" s="252" t="s">
        <v>529</v>
      </c>
      <c r="F867" s="252" t="s">
        <v>94</v>
      </c>
      <c r="G867" s="256"/>
      <c r="H867" s="256"/>
      <c r="I867" s="257">
        <v>0</v>
      </c>
      <c r="J867" s="257">
        <f>G867+I867</f>
        <v>0</v>
      </c>
      <c r="K867" s="257">
        <v>0</v>
      </c>
      <c r="L867" s="257">
        <f>H867+J867</f>
        <v>0</v>
      </c>
      <c r="M867" s="257">
        <f t="shared" ref="M867:N867" si="485">I867+K867</f>
        <v>0</v>
      </c>
      <c r="N867" s="257">
        <f t="shared" si="485"/>
        <v>0</v>
      </c>
    </row>
    <row r="868" spans="1:14" ht="24.75" hidden="1" customHeight="1" x14ac:dyDescent="0.2">
      <c r="A868" s="259" t="s">
        <v>1</v>
      </c>
      <c r="B868" s="252" t="s">
        <v>146</v>
      </c>
      <c r="C868" s="252" t="s">
        <v>198</v>
      </c>
      <c r="D868" s="252" t="s">
        <v>192</v>
      </c>
      <c r="E868" s="252" t="s">
        <v>2</v>
      </c>
      <c r="F868" s="252"/>
      <c r="G868" s="256"/>
      <c r="H868" s="256"/>
      <c r="I868" s="257">
        <f>I869</f>
        <v>0</v>
      </c>
      <c r="J868" s="257">
        <f>J869</f>
        <v>0</v>
      </c>
      <c r="K868" s="257">
        <f>K869</f>
        <v>0</v>
      </c>
      <c r="L868" s="257">
        <f>L869</f>
        <v>0</v>
      </c>
      <c r="M868" s="257">
        <f t="shared" ref="M868:N868" si="486">M869</f>
        <v>0</v>
      </c>
      <c r="N868" s="257">
        <f t="shared" si="486"/>
        <v>0</v>
      </c>
    </row>
    <row r="869" spans="1:14" ht="24.75" hidden="1" customHeight="1" x14ac:dyDescent="0.2">
      <c r="A869" s="259" t="s">
        <v>3</v>
      </c>
      <c r="B869" s="252" t="s">
        <v>146</v>
      </c>
      <c r="C869" s="252" t="s">
        <v>198</v>
      </c>
      <c r="D869" s="252" t="s">
        <v>192</v>
      </c>
      <c r="E869" s="252" t="s">
        <v>4</v>
      </c>
      <c r="F869" s="252"/>
      <c r="G869" s="256"/>
      <c r="H869" s="256"/>
      <c r="I869" s="257">
        <f>I870+I871</f>
        <v>0</v>
      </c>
      <c r="J869" s="257">
        <f>J870+J871</f>
        <v>0</v>
      </c>
      <c r="K869" s="257">
        <f>K870+K871</f>
        <v>0</v>
      </c>
      <c r="L869" s="257">
        <f>L870+L871</f>
        <v>0</v>
      </c>
      <c r="M869" s="257">
        <f t="shared" ref="M869:N869" si="487">M870+M871</f>
        <v>0</v>
      </c>
      <c r="N869" s="257">
        <f t="shared" si="487"/>
        <v>0</v>
      </c>
    </row>
    <row r="870" spans="1:14" ht="24.75" hidden="1" customHeight="1" x14ac:dyDescent="0.2">
      <c r="A870" s="259" t="s">
        <v>63</v>
      </c>
      <c r="B870" s="252" t="s">
        <v>146</v>
      </c>
      <c r="C870" s="252" t="s">
        <v>198</v>
      </c>
      <c r="D870" s="252" t="s">
        <v>192</v>
      </c>
      <c r="E870" s="252" t="s">
        <v>4</v>
      </c>
      <c r="F870" s="252" t="s">
        <v>64</v>
      </c>
      <c r="G870" s="256"/>
      <c r="H870" s="256"/>
      <c r="I870" s="257"/>
      <c r="J870" s="257">
        <f>G870+I870</f>
        <v>0</v>
      </c>
      <c r="K870" s="257"/>
      <c r="L870" s="257">
        <f>H870+J870</f>
        <v>0</v>
      </c>
      <c r="M870" s="257">
        <f t="shared" ref="M870:N871" si="488">I870+K870</f>
        <v>0</v>
      </c>
      <c r="N870" s="257">
        <f t="shared" si="488"/>
        <v>0</v>
      </c>
    </row>
    <row r="871" spans="1:14" ht="24.75" hidden="1" customHeight="1" x14ac:dyDescent="0.2">
      <c r="A871" s="259" t="s">
        <v>76</v>
      </c>
      <c r="B871" s="271">
        <v>801</v>
      </c>
      <c r="C871" s="252" t="s">
        <v>198</v>
      </c>
      <c r="D871" s="252" t="s">
        <v>192</v>
      </c>
      <c r="E871" s="252" t="s">
        <v>4</v>
      </c>
      <c r="F871" s="252" t="s">
        <v>77</v>
      </c>
      <c r="G871" s="256"/>
      <c r="H871" s="256"/>
      <c r="I871" s="257">
        <v>0</v>
      </c>
      <c r="J871" s="257">
        <f>G871+I871</f>
        <v>0</v>
      </c>
      <c r="K871" s="257">
        <v>0</v>
      </c>
      <c r="L871" s="257">
        <f>H871+J871</f>
        <v>0</v>
      </c>
      <c r="M871" s="257">
        <f t="shared" si="488"/>
        <v>0</v>
      </c>
      <c r="N871" s="257">
        <f t="shared" si="488"/>
        <v>0</v>
      </c>
    </row>
    <row r="872" spans="1:14" ht="24.75" hidden="1" customHeight="1" x14ac:dyDescent="0.2">
      <c r="A872" s="259" t="s">
        <v>530</v>
      </c>
      <c r="B872" s="252" t="s">
        <v>146</v>
      </c>
      <c r="C872" s="252" t="s">
        <v>198</v>
      </c>
      <c r="D872" s="252" t="s">
        <v>192</v>
      </c>
      <c r="E872" s="252" t="s">
        <v>529</v>
      </c>
      <c r="F872" s="252"/>
      <c r="G872" s="256"/>
      <c r="H872" s="256"/>
      <c r="I872" s="257">
        <f>I873</f>
        <v>-1600</v>
      </c>
      <c r="J872" s="257" t="e">
        <f>J873</f>
        <v>#REF!</v>
      </c>
      <c r="K872" s="257">
        <f>K873</f>
        <v>-1600</v>
      </c>
      <c r="L872" s="257" t="e">
        <f>L873</f>
        <v>#REF!</v>
      </c>
      <c r="M872" s="257" t="e">
        <f t="shared" ref="M872:N872" si="489">M873</f>
        <v>#REF!</v>
      </c>
      <c r="N872" s="257" t="e">
        <f t="shared" si="489"/>
        <v>#REF!</v>
      </c>
    </row>
    <row r="873" spans="1:14" ht="24.75" hidden="1" customHeight="1" x14ac:dyDescent="0.2">
      <c r="A873" s="259" t="s">
        <v>93</v>
      </c>
      <c r="B873" s="252" t="s">
        <v>146</v>
      </c>
      <c r="C873" s="252" t="s">
        <v>198</v>
      </c>
      <c r="D873" s="252" t="s">
        <v>192</v>
      </c>
      <c r="E873" s="252" t="s">
        <v>529</v>
      </c>
      <c r="F873" s="252" t="s">
        <v>94</v>
      </c>
      <c r="G873" s="256"/>
      <c r="H873" s="256"/>
      <c r="I873" s="257">
        <v>-1600</v>
      </c>
      <c r="J873" s="257" t="e">
        <f>#REF!+I873</f>
        <v>#REF!</v>
      </c>
      <c r="K873" s="257">
        <v>-1600</v>
      </c>
      <c r="L873" s="257" t="e">
        <f>#REF!+J873</f>
        <v>#REF!</v>
      </c>
      <c r="M873" s="257" t="e">
        <f>#REF!+K873</f>
        <v>#REF!</v>
      </c>
      <c r="N873" s="257" t="e">
        <f>#REF!+L873</f>
        <v>#REF!</v>
      </c>
    </row>
    <row r="874" spans="1:14" ht="17.25" hidden="1" customHeight="1" x14ac:dyDescent="0.2">
      <c r="A874" s="259" t="s">
        <v>404</v>
      </c>
      <c r="B874" s="271">
        <v>801</v>
      </c>
      <c r="C874" s="252" t="s">
        <v>198</v>
      </c>
      <c r="D874" s="252" t="s">
        <v>192</v>
      </c>
      <c r="E874" s="252" t="s">
        <v>62</v>
      </c>
      <c r="F874" s="252"/>
      <c r="G874" s="256"/>
      <c r="H874" s="256"/>
      <c r="I874" s="257">
        <f>I875+I877+I880+I883+I885+I887</f>
        <v>-1650</v>
      </c>
      <c r="J874" s="257">
        <f>J875+J877+J880+J883+J885+J887</f>
        <v>-1650</v>
      </c>
      <c r="K874" s="257">
        <f>K875+K877+K880+K883+K885+K887</f>
        <v>-1650</v>
      </c>
      <c r="L874" s="257">
        <f>L875+L877+L880+L883+L885+L887</f>
        <v>-1650</v>
      </c>
      <c r="M874" s="257">
        <f t="shared" ref="M874:N874" si="490">M875+M877+M880+M883+M885+M887</f>
        <v>-3300</v>
      </c>
      <c r="N874" s="257">
        <f t="shared" si="490"/>
        <v>-3300</v>
      </c>
    </row>
    <row r="875" spans="1:14" ht="30" hidden="1" x14ac:dyDescent="0.2">
      <c r="A875" s="259" t="s">
        <v>542</v>
      </c>
      <c r="B875" s="271">
        <v>801</v>
      </c>
      <c r="C875" s="252" t="s">
        <v>198</v>
      </c>
      <c r="D875" s="252" t="s">
        <v>192</v>
      </c>
      <c r="E875" s="252" t="s">
        <v>175</v>
      </c>
      <c r="F875" s="252"/>
      <c r="G875" s="256"/>
      <c r="H875" s="256"/>
      <c r="I875" s="257"/>
      <c r="J875" s="257">
        <f>J876</f>
        <v>0</v>
      </c>
      <c r="K875" s="257"/>
      <c r="L875" s="257">
        <f>L876</f>
        <v>0</v>
      </c>
      <c r="M875" s="257">
        <f t="shared" ref="M875:N875" si="491">M876</f>
        <v>0</v>
      </c>
      <c r="N875" s="257">
        <f t="shared" si="491"/>
        <v>0</v>
      </c>
    </row>
    <row r="876" spans="1:14" ht="15" hidden="1" x14ac:dyDescent="0.2">
      <c r="A876" s="259" t="s">
        <v>93</v>
      </c>
      <c r="B876" s="271">
        <v>801</v>
      </c>
      <c r="C876" s="252" t="s">
        <v>198</v>
      </c>
      <c r="D876" s="252" t="s">
        <v>192</v>
      </c>
      <c r="E876" s="252" t="s">
        <v>175</v>
      </c>
      <c r="F876" s="252" t="s">
        <v>94</v>
      </c>
      <c r="G876" s="256"/>
      <c r="H876" s="256"/>
      <c r="I876" s="257"/>
      <c r="J876" s="257">
        <f>G876+I876</f>
        <v>0</v>
      </c>
      <c r="K876" s="257"/>
      <c r="L876" s="257">
        <f>H876+J876</f>
        <v>0</v>
      </c>
      <c r="M876" s="257">
        <f t="shared" ref="M876:N876" si="492">I876+K876</f>
        <v>0</v>
      </c>
      <c r="N876" s="257">
        <f t="shared" si="492"/>
        <v>0</v>
      </c>
    </row>
    <row r="877" spans="1:14" ht="15" hidden="1" x14ac:dyDescent="0.2">
      <c r="A877" s="259" t="s">
        <v>543</v>
      </c>
      <c r="B877" s="271">
        <v>801</v>
      </c>
      <c r="C877" s="252" t="s">
        <v>198</v>
      </c>
      <c r="D877" s="252" t="s">
        <v>192</v>
      </c>
      <c r="E877" s="252" t="s">
        <v>179</v>
      </c>
      <c r="F877" s="252"/>
      <c r="G877" s="256"/>
      <c r="H877" s="256"/>
      <c r="I877" s="257"/>
      <c r="J877" s="257">
        <f>J879+J878</f>
        <v>0</v>
      </c>
      <c r="K877" s="257"/>
      <c r="L877" s="257">
        <f>L879+L878</f>
        <v>0</v>
      </c>
      <c r="M877" s="257">
        <f t="shared" ref="M877:N877" si="493">M879+M878</f>
        <v>0</v>
      </c>
      <c r="N877" s="257">
        <f t="shared" si="493"/>
        <v>0</v>
      </c>
    </row>
    <row r="878" spans="1:14" ht="15" hidden="1" x14ac:dyDescent="0.2">
      <c r="A878" s="259" t="s">
        <v>93</v>
      </c>
      <c r="B878" s="271">
        <v>801</v>
      </c>
      <c r="C878" s="252" t="s">
        <v>198</v>
      </c>
      <c r="D878" s="252" t="s">
        <v>192</v>
      </c>
      <c r="E878" s="252" t="s">
        <v>179</v>
      </c>
      <c r="F878" s="252" t="s">
        <v>94</v>
      </c>
      <c r="G878" s="256"/>
      <c r="H878" s="256"/>
      <c r="I878" s="257"/>
      <c r="J878" s="257">
        <f>G878+I878</f>
        <v>0</v>
      </c>
      <c r="K878" s="257"/>
      <c r="L878" s="257">
        <f>H878+J878</f>
        <v>0</v>
      </c>
      <c r="M878" s="257">
        <f t="shared" ref="M878:N879" si="494">I878+K878</f>
        <v>0</v>
      </c>
      <c r="N878" s="257">
        <f t="shared" si="494"/>
        <v>0</v>
      </c>
    </row>
    <row r="879" spans="1:14" ht="12.75" hidden="1" customHeight="1" x14ac:dyDescent="0.2">
      <c r="A879" s="259" t="s">
        <v>543</v>
      </c>
      <c r="B879" s="271">
        <v>801</v>
      </c>
      <c r="C879" s="252" t="s">
        <v>198</v>
      </c>
      <c r="D879" s="252" t="s">
        <v>192</v>
      </c>
      <c r="E879" s="252" t="s">
        <v>179</v>
      </c>
      <c r="F879" s="252" t="s">
        <v>64</v>
      </c>
      <c r="G879" s="256"/>
      <c r="H879" s="256"/>
      <c r="I879" s="257"/>
      <c r="J879" s="257">
        <f>G879+I879</f>
        <v>0</v>
      </c>
      <c r="K879" s="257"/>
      <c r="L879" s="257">
        <f>H879+J879</f>
        <v>0</v>
      </c>
      <c r="M879" s="257">
        <f t="shared" si="494"/>
        <v>0</v>
      </c>
      <c r="N879" s="257">
        <f t="shared" si="494"/>
        <v>0</v>
      </c>
    </row>
    <row r="880" spans="1:14" ht="15" hidden="1" x14ac:dyDescent="0.2">
      <c r="A880" s="259" t="s">
        <v>544</v>
      </c>
      <c r="B880" s="271">
        <v>801</v>
      </c>
      <c r="C880" s="252" t="s">
        <v>198</v>
      </c>
      <c r="D880" s="252" t="s">
        <v>192</v>
      </c>
      <c r="E880" s="252" t="s">
        <v>180</v>
      </c>
      <c r="F880" s="252"/>
      <c r="G880" s="256"/>
      <c r="H880" s="256"/>
      <c r="I880" s="257"/>
      <c r="J880" s="257">
        <f>J882+J881</f>
        <v>0</v>
      </c>
      <c r="K880" s="257"/>
      <c r="L880" s="257">
        <f>L882+L881</f>
        <v>0</v>
      </c>
      <c r="M880" s="257">
        <f t="shared" ref="M880:N880" si="495">M882+M881</f>
        <v>0</v>
      </c>
      <c r="N880" s="257">
        <f t="shared" si="495"/>
        <v>0</v>
      </c>
    </row>
    <row r="881" spans="1:14" ht="15" hidden="1" x14ac:dyDescent="0.2">
      <c r="A881" s="259" t="s">
        <v>93</v>
      </c>
      <c r="B881" s="271">
        <v>801</v>
      </c>
      <c r="C881" s="252" t="s">
        <v>198</v>
      </c>
      <c r="D881" s="252" t="s">
        <v>192</v>
      </c>
      <c r="E881" s="252" t="s">
        <v>180</v>
      </c>
      <c r="F881" s="252" t="s">
        <v>94</v>
      </c>
      <c r="G881" s="256"/>
      <c r="H881" s="256"/>
      <c r="I881" s="257"/>
      <c r="J881" s="257">
        <f>G881+I881</f>
        <v>0</v>
      </c>
      <c r="K881" s="257"/>
      <c r="L881" s="257">
        <f>H881+J881</f>
        <v>0</v>
      </c>
      <c r="M881" s="257">
        <f t="shared" ref="M881:N882" si="496">I881+K881</f>
        <v>0</v>
      </c>
      <c r="N881" s="257">
        <f t="shared" si="496"/>
        <v>0</v>
      </c>
    </row>
    <row r="882" spans="1:14" ht="12.75" hidden="1" customHeight="1" x14ac:dyDescent="0.2">
      <c r="A882" s="259" t="s">
        <v>63</v>
      </c>
      <c r="B882" s="271">
        <v>801</v>
      </c>
      <c r="C882" s="252" t="s">
        <v>198</v>
      </c>
      <c r="D882" s="252" t="s">
        <v>192</v>
      </c>
      <c r="E882" s="252" t="s">
        <v>180</v>
      </c>
      <c r="F882" s="252" t="s">
        <v>64</v>
      </c>
      <c r="G882" s="256"/>
      <c r="H882" s="256"/>
      <c r="I882" s="257"/>
      <c r="J882" s="257">
        <f>G882+I882</f>
        <v>0</v>
      </c>
      <c r="K882" s="257"/>
      <c r="L882" s="257">
        <f>H882+J882</f>
        <v>0</v>
      </c>
      <c r="M882" s="257">
        <f t="shared" si="496"/>
        <v>0</v>
      </c>
      <c r="N882" s="257">
        <f t="shared" si="496"/>
        <v>0</v>
      </c>
    </row>
    <row r="883" spans="1:14" ht="15" hidden="1" x14ac:dyDescent="0.2">
      <c r="A883" s="259" t="s">
        <v>545</v>
      </c>
      <c r="B883" s="271">
        <v>801</v>
      </c>
      <c r="C883" s="252" t="s">
        <v>198</v>
      </c>
      <c r="D883" s="252" t="s">
        <v>192</v>
      </c>
      <c r="E883" s="252" t="s">
        <v>186</v>
      </c>
      <c r="F883" s="252"/>
      <c r="G883" s="256"/>
      <c r="H883" s="256"/>
      <c r="I883" s="257"/>
      <c r="J883" s="257">
        <f>J884</f>
        <v>0</v>
      </c>
      <c r="K883" s="257"/>
      <c r="L883" s="257">
        <f>L884</f>
        <v>0</v>
      </c>
      <c r="M883" s="257">
        <f t="shared" ref="M883:N883" si="497">M884</f>
        <v>0</v>
      </c>
      <c r="N883" s="257">
        <f t="shared" si="497"/>
        <v>0</v>
      </c>
    </row>
    <row r="884" spans="1:14" ht="15" hidden="1" x14ac:dyDescent="0.2">
      <c r="A884" s="259" t="s">
        <v>93</v>
      </c>
      <c r="B884" s="271">
        <v>801</v>
      </c>
      <c r="C884" s="252" t="s">
        <v>198</v>
      </c>
      <c r="D884" s="252" t="s">
        <v>192</v>
      </c>
      <c r="E884" s="252" t="s">
        <v>186</v>
      </c>
      <c r="F884" s="252" t="s">
        <v>94</v>
      </c>
      <c r="G884" s="256"/>
      <c r="H884" s="256"/>
      <c r="I884" s="257"/>
      <c r="J884" s="257">
        <f>G884+I884</f>
        <v>0</v>
      </c>
      <c r="K884" s="257"/>
      <c r="L884" s="257">
        <f>H884+J884</f>
        <v>0</v>
      </c>
      <c r="M884" s="257">
        <f t="shared" ref="M884:N884" si="498">I884+K884</f>
        <v>0</v>
      </c>
      <c r="N884" s="257">
        <f t="shared" si="498"/>
        <v>0</v>
      </c>
    </row>
    <row r="885" spans="1:14" ht="29.25" hidden="1" customHeight="1" x14ac:dyDescent="0.2">
      <c r="A885" s="259" t="s">
        <v>1003</v>
      </c>
      <c r="B885" s="271">
        <v>801</v>
      </c>
      <c r="C885" s="252" t="s">
        <v>198</v>
      </c>
      <c r="D885" s="252" t="s">
        <v>192</v>
      </c>
      <c r="E885" s="252" t="s">
        <v>435</v>
      </c>
      <c r="F885" s="252"/>
      <c r="G885" s="256"/>
      <c r="H885" s="256"/>
      <c r="I885" s="257">
        <f>I886</f>
        <v>-1500</v>
      </c>
      <c r="J885" s="257">
        <f>J886</f>
        <v>-1500</v>
      </c>
      <c r="K885" s="257">
        <f>K886</f>
        <v>-1500</v>
      </c>
      <c r="L885" s="257">
        <f>L886</f>
        <v>-1500</v>
      </c>
      <c r="M885" s="257">
        <f t="shared" ref="M885:N885" si="499">M886</f>
        <v>-3000</v>
      </c>
      <c r="N885" s="257">
        <f t="shared" si="499"/>
        <v>-3000</v>
      </c>
    </row>
    <row r="886" spans="1:14" ht="15.75" hidden="1" customHeight="1" x14ac:dyDescent="0.2">
      <c r="A886" s="259" t="s">
        <v>93</v>
      </c>
      <c r="B886" s="271">
        <v>801</v>
      </c>
      <c r="C886" s="252" t="s">
        <v>198</v>
      </c>
      <c r="D886" s="252" t="s">
        <v>192</v>
      </c>
      <c r="E886" s="252" t="s">
        <v>435</v>
      </c>
      <c r="F886" s="252" t="s">
        <v>94</v>
      </c>
      <c r="G886" s="256"/>
      <c r="H886" s="256"/>
      <c r="I886" s="257">
        <v>-1500</v>
      </c>
      <c r="J886" s="257">
        <f>G886+I886</f>
        <v>-1500</v>
      </c>
      <c r="K886" s="257">
        <v>-1500</v>
      </c>
      <c r="L886" s="257">
        <f>H886+J886</f>
        <v>-1500</v>
      </c>
      <c r="M886" s="257">
        <f t="shared" ref="M886:N886" si="500">I886+K886</f>
        <v>-3000</v>
      </c>
      <c r="N886" s="257">
        <f t="shared" si="500"/>
        <v>-3000</v>
      </c>
    </row>
    <row r="887" spans="1:14" ht="15.75" hidden="1" customHeight="1" x14ac:dyDescent="0.2">
      <c r="A887" s="259" t="s">
        <v>427</v>
      </c>
      <c r="B887" s="271">
        <v>801</v>
      </c>
      <c r="C887" s="252" t="s">
        <v>198</v>
      </c>
      <c r="D887" s="252" t="s">
        <v>192</v>
      </c>
      <c r="E887" s="252" t="s">
        <v>436</v>
      </c>
      <c r="F887" s="252"/>
      <c r="G887" s="256"/>
      <c r="H887" s="256"/>
      <c r="I887" s="257">
        <f>I888</f>
        <v>-150</v>
      </c>
      <c r="J887" s="257">
        <f>J888</f>
        <v>-150</v>
      </c>
      <c r="K887" s="257">
        <f>K888</f>
        <v>-150</v>
      </c>
      <c r="L887" s="257">
        <f>L888</f>
        <v>-150</v>
      </c>
      <c r="M887" s="257">
        <f t="shared" ref="M887:N887" si="501">M888</f>
        <v>-300</v>
      </c>
      <c r="N887" s="257">
        <f t="shared" si="501"/>
        <v>-300</v>
      </c>
    </row>
    <row r="888" spans="1:14" ht="18" hidden="1" customHeight="1" x14ac:dyDescent="0.2">
      <c r="A888" s="259" t="s">
        <v>93</v>
      </c>
      <c r="B888" s="271">
        <v>801</v>
      </c>
      <c r="C888" s="252" t="s">
        <v>198</v>
      </c>
      <c r="D888" s="252" t="s">
        <v>192</v>
      </c>
      <c r="E888" s="252" t="s">
        <v>436</v>
      </c>
      <c r="F888" s="252" t="s">
        <v>94</v>
      </c>
      <c r="G888" s="256"/>
      <c r="H888" s="256"/>
      <c r="I888" s="257">
        <v>-150</v>
      </c>
      <c r="J888" s="257">
        <f>G888+I888</f>
        <v>-150</v>
      </c>
      <c r="K888" s="257">
        <v>-150</v>
      </c>
      <c r="L888" s="257">
        <f>H888+J888</f>
        <v>-150</v>
      </c>
      <c r="M888" s="257">
        <f t="shared" ref="M888:N888" si="502">I888+K888</f>
        <v>-300</v>
      </c>
      <c r="N888" s="257">
        <f t="shared" si="502"/>
        <v>-300</v>
      </c>
    </row>
    <row r="889" spans="1:14" ht="15" hidden="1" x14ac:dyDescent="0.2">
      <c r="A889" s="259" t="s">
        <v>532</v>
      </c>
      <c r="B889" s="271">
        <v>801</v>
      </c>
      <c r="C889" s="252" t="s">
        <v>198</v>
      </c>
      <c r="D889" s="252" t="s">
        <v>192</v>
      </c>
      <c r="E889" s="252" t="s">
        <v>531</v>
      </c>
      <c r="F889" s="252"/>
      <c r="G889" s="256"/>
      <c r="H889" s="256"/>
      <c r="I889" s="257">
        <f>I890</f>
        <v>2200</v>
      </c>
      <c r="J889" s="257">
        <f>J890</f>
        <v>0</v>
      </c>
      <c r="K889" s="257">
        <f>K890</f>
        <v>2200</v>
      </c>
      <c r="L889" s="257">
        <f>L890</f>
        <v>0</v>
      </c>
      <c r="M889" s="257">
        <f t="shared" ref="M889:N889" si="503">M890</f>
        <v>1</v>
      </c>
      <c r="N889" s="257">
        <f t="shared" si="503"/>
        <v>2</v>
      </c>
    </row>
    <row r="890" spans="1:14" ht="30" hidden="1" x14ac:dyDescent="0.2">
      <c r="A890" s="259" t="s">
        <v>76</v>
      </c>
      <c r="B890" s="271">
        <v>801</v>
      </c>
      <c r="C890" s="252" t="s">
        <v>198</v>
      </c>
      <c r="D890" s="252" t="s">
        <v>192</v>
      </c>
      <c r="E890" s="252" t="s">
        <v>531</v>
      </c>
      <c r="F890" s="252" t="s">
        <v>77</v>
      </c>
      <c r="G890" s="256"/>
      <c r="H890" s="256"/>
      <c r="I890" s="257">
        <v>2200</v>
      </c>
      <c r="J890" s="257">
        <v>0</v>
      </c>
      <c r="K890" s="257">
        <v>2200</v>
      </c>
      <c r="L890" s="257">
        <v>0</v>
      </c>
      <c r="M890" s="257">
        <v>1</v>
      </c>
      <c r="N890" s="257">
        <v>2</v>
      </c>
    </row>
    <row r="891" spans="1:14" ht="15" hidden="1" x14ac:dyDescent="0.2">
      <c r="A891" s="398" t="s">
        <v>224</v>
      </c>
      <c r="B891" s="250" t="s">
        <v>146</v>
      </c>
      <c r="C891" s="250" t="s">
        <v>198</v>
      </c>
      <c r="D891" s="250" t="s">
        <v>194</v>
      </c>
      <c r="E891" s="250"/>
      <c r="F891" s="250"/>
      <c r="G891" s="256"/>
      <c r="H891" s="256"/>
      <c r="I891" s="257"/>
      <c r="J891" s="257">
        <f>J892</f>
        <v>-3309.56</v>
      </c>
      <c r="K891" s="257"/>
      <c r="L891" s="257">
        <f>L892</f>
        <v>-3309.56</v>
      </c>
      <c r="M891" s="257">
        <f t="shared" ref="M891:N891" si="504">M892</f>
        <v>-6618.12</v>
      </c>
      <c r="N891" s="257">
        <f t="shared" si="504"/>
        <v>-6617.12</v>
      </c>
    </row>
    <row r="892" spans="1:14" ht="15" hidden="1" x14ac:dyDescent="0.2">
      <c r="A892" s="259" t="s">
        <v>404</v>
      </c>
      <c r="B892" s="252" t="s">
        <v>146</v>
      </c>
      <c r="C892" s="252" t="s">
        <v>198</v>
      </c>
      <c r="D892" s="252" t="s">
        <v>194</v>
      </c>
      <c r="E892" s="252" t="s">
        <v>62</v>
      </c>
      <c r="F892" s="252"/>
      <c r="G892" s="256"/>
      <c r="H892" s="256"/>
      <c r="I892" s="257"/>
      <c r="J892" s="257">
        <f>J893+J905</f>
        <v>-3309.56</v>
      </c>
      <c r="K892" s="257"/>
      <c r="L892" s="257">
        <f>L893+L905</f>
        <v>-3309.56</v>
      </c>
      <c r="M892" s="257">
        <f t="shared" ref="M892:N892" si="505">M893+M905</f>
        <v>-6618.12</v>
      </c>
      <c r="N892" s="257">
        <f t="shared" si="505"/>
        <v>-6617.12</v>
      </c>
    </row>
    <row r="893" spans="1:14" ht="15" hidden="1" x14ac:dyDescent="0.2">
      <c r="A893" s="259" t="s">
        <v>546</v>
      </c>
      <c r="B893" s="252" t="s">
        <v>146</v>
      </c>
      <c r="C893" s="252" t="s">
        <v>198</v>
      </c>
      <c r="D893" s="252" t="s">
        <v>194</v>
      </c>
      <c r="E893" s="252" t="s">
        <v>181</v>
      </c>
      <c r="F893" s="252"/>
      <c r="G893" s="256"/>
      <c r="H893" s="256"/>
      <c r="I893" s="257"/>
      <c r="J893" s="257">
        <f>J894+J900</f>
        <v>0</v>
      </c>
      <c r="K893" s="257"/>
      <c r="L893" s="257">
        <f>L894+L900</f>
        <v>0</v>
      </c>
      <c r="M893" s="257">
        <f t="shared" ref="M893:N893" si="506">M894+M900</f>
        <v>0</v>
      </c>
      <c r="N893" s="257">
        <f t="shared" si="506"/>
        <v>0</v>
      </c>
    </row>
    <row r="894" spans="1:14" ht="12.75" hidden="1" customHeight="1" x14ac:dyDescent="0.2">
      <c r="A894" s="259" t="s">
        <v>63</v>
      </c>
      <c r="B894" s="252" t="s">
        <v>146</v>
      </c>
      <c r="C894" s="252" t="s">
        <v>198</v>
      </c>
      <c r="D894" s="252" t="s">
        <v>194</v>
      </c>
      <c r="E894" s="252" t="s">
        <v>181</v>
      </c>
      <c r="F894" s="252" t="s">
        <v>64</v>
      </c>
      <c r="G894" s="256"/>
      <c r="H894" s="256"/>
      <c r="I894" s="257"/>
      <c r="J894" s="257">
        <f>G894+I894</f>
        <v>0</v>
      </c>
      <c r="K894" s="257"/>
      <c r="L894" s="257">
        <f>H894+J894</f>
        <v>0</v>
      </c>
      <c r="M894" s="257">
        <f t="shared" ref="M894:N894" si="507">I894+K894</f>
        <v>0</v>
      </c>
      <c r="N894" s="257">
        <f t="shared" si="507"/>
        <v>0</v>
      </c>
    </row>
    <row r="895" spans="1:14" ht="12.75" hidden="1" customHeight="1" x14ac:dyDescent="0.2">
      <c r="A895" s="398" t="s">
        <v>298</v>
      </c>
      <c r="B895" s="249">
        <v>801</v>
      </c>
      <c r="C895" s="250" t="s">
        <v>202</v>
      </c>
      <c r="D895" s="250"/>
      <c r="E895" s="250"/>
      <c r="F895" s="250"/>
      <c r="G895" s="256"/>
      <c r="H895" s="256"/>
      <c r="I895" s="257"/>
      <c r="J895" s="257" t="e">
        <f>J896</f>
        <v>#REF!</v>
      </c>
      <c r="K895" s="257"/>
      <c r="L895" s="257" t="e">
        <f t="shared" ref="L895:N898" si="508">L896</f>
        <v>#REF!</v>
      </c>
      <c r="M895" s="257">
        <f t="shared" si="508"/>
        <v>0</v>
      </c>
      <c r="N895" s="257" t="e">
        <f t="shared" si="508"/>
        <v>#REF!</v>
      </c>
    </row>
    <row r="896" spans="1:14" ht="25.5" hidden="1" customHeight="1" x14ac:dyDescent="0.2">
      <c r="A896" s="398" t="s">
        <v>229</v>
      </c>
      <c r="B896" s="249">
        <v>801</v>
      </c>
      <c r="C896" s="250" t="s">
        <v>202</v>
      </c>
      <c r="D896" s="250" t="s">
        <v>198</v>
      </c>
      <c r="E896" s="250"/>
      <c r="F896" s="250"/>
      <c r="G896" s="256"/>
      <c r="H896" s="256"/>
      <c r="I896" s="257"/>
      <c r="J896" s="257" t="e">
        <f>J897</f>
        <v>#REF!</v>
      </c>
      <c r="K896" s="257"/>
      <c r="L896" s="257" t="e">
        <f t="shared" si="508"/>
        <v>#REF!</v>
      </c>
      <c r="M896" s="257">
        <f t="shared" si="508"/>
        <v>0</v>
      </c>
      <c r="N896" s="257" t="e">
        <f t="shared" si="508"/>
        <v>#REF!</v>
      </c>
    </row>
    <row r="897" spans="1:14" ht="12.75" hidden="1" customHeight="1" x14ac:dyDescent="0.2">
      <c r="A897" s="259" t="s">
        <v>358</v>
      </c>
      <c r="B897" s="271">
        <v>801</v>
      </c>
      <c r="C897" s="252" t="s">
        <v>202</v>
      </c>
      <c r="D897" s="252" t="s">
        <v>198</v>
      </c>
      <c r="E897" s="252" t="s">
        <v>359</v>
      </c>
      <c r="F897" s="252"/>
      <c r="G897" s="256"/>
      <c r="H897" s="256"/>
      <c r="I897" s="257"/>
      <c r="J897" s="257" t="e">
        <f>J898</f>
        <v>#REF!</v>
      </c>
      <c r="K897" s="257"/>
      <c r="L897" s="257" t="e">
        <f t="shared" si="508"/>
        <v>#REF!</v>
      </c>
      <c r="M897" s="257">
        <f t="shared" si="508"/>
        <v>0</v>
      </c>
      <c r="N897" s="257" t="e">
        <f t="shared" si="508"/>
        <v>#REF!</v>
      </c>
    </row>
    <row r="898" spans="1:14" ht="12.75" hidden="1" customHeight="1" x14ac:dyDescent="0.2">
      <c r="A898" s="259" t="s">
        <v>360</v>
      </c>
      <c r="B898" s="271">
        <v>801</v>
      </c>
      <c r="C898" s="252" t="s">
        <v>202</v>
      </c>
      <c r="D898" s="252" t="s">
        <v>198</v>
      </c>
      <c r="E898" s="252" t="s">
        <v>361</v>
      </c>
      <c r="F898" s="252"/>
      <c r="G898" s="256"/>
      <c r="H898" s="256"/>
      <c r="I898" s="257"/>
      <c r="J898" s="257" t="e">
        <f>J899</f>
        <v>#REF!</v>
      </c>
      <c r="K898" s="257"/>
      <c r="L898" s="257" t="e">
        <f t="shared" si="508"/>
        <v>#REF!</v>
      </c>
      <c r="M898" s="257">
        <f t="shared" si="508"/>
        <v>0</v>
      </c>
      <c r="N898" s="257" t="e">
        <f t="shared" si="508"/>
        <v>#REF!</v>
      </c>
    </row>
    <row r="899" spans="1:14" ht="12.75" hidden="1" customHeight="1" x14ac:dyDescent="0.2">
      <c r="A899" s="259" t="s">
        <v>320</v>
      </c>
      <c r="B899" s="271">
        <v>801</v>
      </c>
      <c r="C899" s="252" t="s">
        <v>202</v>
      </c>
      <c r="D899" s="252" t="s">
        <v>198</v>
      </c>
      <c r="E899" s="252" t="s">
        <v>361</v>
      </c>
      <c r="F899" s="252" t="s">
        <v>321</v>
      </c>
      <c r="G899" s="256"/>
      <c r="H899" s="256"/>
      <c r="I899" s="257"/>
      <c r="J899" s="257" t="e">
        <f>#REF!+I899</f>
        <v>#REF!</v>
      </c>
      <c r="K899" s="257"/>
      <c r="L899" s="257" t="e">
        <f>F899+J899</f>
        <v>#REF!</v>
      </c>
      <c r="M899" s="257">
        <f t="shared" ref="M899:N899" si="509">G899+K899</f>
        <v>0</v>
      </c>
      <c r="N899" s="257" t="e">
        <f t="shared" si="509"/>
        <v>#REF!</v>
      </c>
    </row>
    <row r="900" spans="1:14" ht="36" hidden="1" customHeight="1" x14ac:dyDescent="0.2">
      <c r="A900" s="259" t="s">
        <v>159</v>
      </c>
      <c r="B900" s="271">
        <v>801</v>
      </c>
      <c r="C900" s="252" t="s">
        <v>198</v>
      </c>
      <c r="D900" s="252" t="s">
        <v>194</v>
      </c>
      <c r="E900" s="252" t="s">
        <v>181</v>
      </c>
      <c r="F900" s="252" t="s">
        <v>160</v>
      </c>
      <c r="G900" s="256"/>
      <c r="H900" s="256"/>
      <c r="I900" s="257"/>
      <c r="J900" s="257">
        <f>G900+I900</f>
        <v>0</v>
      </c>
      <c r="K900" s="257"/>
      <c r="L900" s="257">
        <f>H900+J900</f>
        <v>0</v>
      </c>
      <c r="M900" s="257">
        <f t="shared" ref="M900:N900" si="510">I900+K900</f>
        <v>0</v>
      </c>
      <c r="N900" s="257">
        <f t="shared" si="510"/>
        <v>0</v>
      </c>
    </row>
    <row r="901" spans="1:14" s="19" customFormat="1" ht="12.75" hidden="1" customHeight="1" x14ac:dyDescent="0.2">
      <c r="A901" s="398" t="s">
        <v>298</v>
      </c>
      <c r="B901" s="249">
        <v>801</v>
      </c>
      <c r="C901" s="250" t="s">
        <v>202</v>
      </c>
      <c r="D901" s="250"/>
      <c r="E901" s="250"/>
      <c r="F901" s="250"/>
      <c r="G901" s="264"/>
      <c r="H901" s="264"/>
      <c r="I901" s="275"/>
      <c r="J901" s="275">
        <f>J905+J902</f>
        <v>-3309.56</v>
      </c>
      <c r="K901" s="275"/>
      <c r="L901" s="275">
        <f>L905+L902</f>
        <v>-3309.56</v>
      </c>
      <c r="M901" s="275">
        <f t="shared" ref="M901:N901" si="511">M905+M902</f>
        <v>-6618.12</v>
      </c>
      <c r="N901" s="275">
        <f t="shared" si="511"/>
        <v>-6617.12</v>
      </c>
    </row>
    <row r="902" spans="1:14" ht="12.75" hidden="1" customHeight="1" x14ac:dyDescent="0.2">
      <c r="A902" s="398" t="s">
        <v>227</v>
      </c>
      <c r="B902" s="249">
        <v>801</v>
      </c>
      <c r="C902" s="250" t="s">
        <v>202</v>
      </c>
      <c r="D902" s="250" t="s">
        <v>190</v>
      </c>
      <c r="E902" s="250"/>
      <c r="F902" s="250"/>
      <c r="G902" s="256"/>
      <c r="H902" s="256"/>
      <c r="I902" s="257"/>
      <c r="J902" s="257">
        <f>J903</f>
        <v>0</v>
      </c>
      <c r="K902" s="257"/>
      <c r="L902" s="257">
        <f>L903</f>
        <v>0</v>
      </c>
      <c r="M902" s="257">
        <f t="shared" ref="M902:N903" si="512">M903</f>
        <v>0</v>
      </c>
      <c r="N902" s="257">
        <f t="shared" si="512"/>
        <v>0</v>
      </c>
    </row>
    <row r="903" spans="1:14" ht="25.5" hidden="1" customHeight="1" x14ac:dyDescent="0.2">
      <c r="A903" s="259" t="s">
        <v>414</v>
      </c>
      <c r="B903" s="249">
        <v>801</v>
      </c>
      <c r="C903" s="250" t="s">
        <v>202</v>
      </c>
      <c r="D903" s="252" t="s">
        <v>190</v>
      </c>
      <c r="E903" s="252" t="s">
        <v>415</v>
      </c>
      <c r="F903" s="252"/>
      <c r="G903" s="256"/>
      <c r="H903" s="256"/>
      <c r="I903" s="257"/>
      <c r="J903" s="257">
        <f>J904</f>
        <v>0</v>
      </c>
      <c r="K903" s="257"/>
      <c r="L903" s="257">
        <f>L904</f>
        <v>0</v>
      </c>
      <c r="M903" s="257">
        <f t="shared" si="512"/>
        <v>0</v>
      </c>
      <c r="N903" s="257">
        <f t="shared" si="512"/>
        <v>0</v>
      </c>
    </row>
    <row r="904" spans="1:14" ht="12.75" hidden="1" customHeight="1" x14ac:dyDescent="0.2">
      <c r="A904" s="273" t="s">
        <v>416</v>
      </c>
      <c r="B904" s="271">
        <v>801</v>
      </c>
      <c r="C904" s="252" t="s">
        <v>202</v>
      </c>
      <c r="D904" s="252" t="s">
        <v>190</v>
      </c>
      <c r="E904" s="252" t="s">
        <v>415</v>
      </c>
      <c r="F904" s="252" t="s">
        <v>417</v>
      </c>
      <c r="G904" s="256"/>
      <c r="H904" s="256"/>
      <c r="I904" s="257"/>
      <c r="J904" s="257">
        <f>I904</f>
        <v>0</v>
      </c>
      <c r="K904" s="257"/>
      <c r="L904" s="257">
        <f>J904</f>
        <v>0</v>
      </c>
      <c r="M904" s="257">
        <f t="shared" ref="M904:N904" si="513">K904</f>
        <v>0</v>
      </c>
      <c r="N904" s="257">
        <f t="shared" si="513"/>
        <v>0</v>
      </c>
    </row>
    <row r="905" spans="1:14" ht="19.5" hidden="1" customHeight="1" x14ac:dyDescent="0.2">
      <c r="A905" s="398" t="s">
        <v>228</v>
      </c>
      <c r="B905" s="249">
        <v>801</v>
      </c>
      <c r="C905" s="250" t="s">
        <v>202</v>
      </c>
      <c r="D905" s="250" t="s">
        <v>192</v>
      </c>
      <c r="E905" s="250"/>
      <c r="F905" s="250"/>
      <c r="G905" s="256"/>
      <c r="H905" s="256"/>
      <c r="I905" s="257"/>
      <c r="J905" s="257">
        <f>J906+J908</f>
        <v>-3309.56</v>
      </c>
      <c r="K905" s="257"/>
      <c r="L905" s="257">
        <f>L906+L908</f>
        <v>-3309.56</v>
      </c>
      <c r="M905" s="257">
        <f t="shared" ref="M905:N905" si="514">M906+M908</f>
        <v>-6618.12</v>
      </c>
      <c r="N905" s="257">
        <f t="shared" si="514"/>
        <v>-6617.12</v>
      </c>
    </row>
    <row r="906" spans="1:14" ht="41.25" hidden="1" customHeight="1" x14ac:dyDescent="0.2">
      <c r="A906" s="259" t="s">
        <v>418</v>
      </c>
      <c r="B906" s="252" t="s">
        <v>146</v>
      </c>
      <c r="C906" s="252" t="s">
        <v>202</v>
      </c>
      <c r="D906" s="252" t="s">
        <v>192</v>
      </c>
      <c r="E906" s="251" t="s">
        <v>419</v>
      </c>
      <c r="F906" s="252"/>
      <c r="G906" s="256"/>
      <c r="H906" s="256"/>
      <c r="I906" s="257"/>
      <c r="J906" s="257">
        <f>J907</f>
        <v>0</v>
      </c>
      <c r="K906" s="257"/>
      <c r="L906" s="257">
        <f>L907</f>
        <v>0</v>
      </c>
      <c r="M906" s="257">
        <f t="shared" ref="M906:N906" si="515">M907</f>
        <v>0</v>
      </c>
      <c r="N906" s="257">
        <f t="shared" si="515"/>
        <v>0</v>
      </c>
    </row>
    <row r="907" spans="1:14" ht="34.5" hidden="1" customHeight="1" x14ac:dyDescent="0.2">
      <c r="A907" s="273" t="s">
        <v>416</v>
      </c>
      <c r="B907" s="252" t="s">
        <v>146</v>
      </c>
      <c r="C907" s="252" t="s">
        <v>202</v>
      </c>
      <c r="D907" s="252" t="s">
        <v>192</v>
      </c>
      <c r="E907" s="251" t="s">
        <v>419</v>
      </c>
      <c r="F907" s="252" t="s">
        <v>417</v>
      </c>
      <c r="G907" s="256"/>
      <c r="H907" s="256"/>
      <c r="I907" s="257"/>
      <c r="J907" s="257">
        <f>G907+I907</f>
        <v>0</v>
      </c>
      <c r="K907" s="257"/>
      <c r="L907" s="257">
        <f>H907+J907</f>
        <v>0</v>
      </c>
      <c r="M907" s="257">
        <f t="shared" ref="M907:N907" si="516">I907+K907</f>
        <v>0</v>
      </c>
      <c r="N907" s="257">
        <f t="shared" si="516"/>
        <v>0</v>
      </c>
    </row>
    <row r="908" spans="1:14" ht="14.25" hidden="1" customHeight="1" x14ac:dyDescent="0.2">
      <c r="A908" s="398" t="s">
        <v>80</v>
      </c>
      <c r="B908" s="249">
        <v>801</v>
      </c>
      <c r="C908" s="250" t="s">
        <v>233</v>
      </c>
      <c r="D908" s="250"/>
      <c r="E908" s="250"/>
      <c r="F908" s="250"/>
      <c r="G908" s="256"/>
      <c r="H908" s="256"/>
      <c r="I908" s="257">
        <f>I909</f>
        <v>-3309.56</v>
      </c>
      <c r="J908" s="257">
        <f>J909</f>
        <v>-3309.56</v>
      </c>
      <c r="K908" s="257">
        <f>K909</f>
        <v>-3309.56</v>
      </c>
      <c r="L908" s="257">
        <f>L909</f>
        <v>-3309.56</v>
      </c>
      <c r="M908" s="257">
        <f t="shared" ref="M908:N908" si="517">M909</f>
        <v>-6618.12</v>
      </c>
      <c r="N908" s="257">
        <f t="shared" si="517"/>
        <v>-6617.12</v>
      </c>
    </row>
    <row r="909" spans="1:14" s="19" customFormat="1" ht="14.25" hidden="1" customHeight="1" x14ac:dyDescent="0.2">
      <c r="A909" s="398" t="s">
        <v>81</v>
      </c>
      <c r="B909" s="249">
        <v>801</v>
      </c>
      <c r="C909" s="250" t="s">
        <v>233</v>
      </c>
      <c r="D909" s="250" t="s">
        <v>190</v>
      </c>
      <c r="E909" s="250"/>
      <c r="F909" s="250"/>
      <c r="G909" s="264"/>
      <c r="H909" s="264"/>
      <c r="I909" s="275">
        <f>I910+I912</f>
        <v>-3309.56</v>
      </c>
      <c r="J909" s="275">
        <f>J910+J912</f>
        <v>-3309.56</v>
      </c>
      <c r="K909" s="275">
        <f>K910+K912</f>
        <v>-3309.56</v>
      </c>
      <c r="L909" s="275">
        <f>L910+L912</f>
        <v>-3309.56</v>
      </c>
      <c r="M909" s="275">
        <f t="shared" ref="M909:N909" si="518">M910+M912</f>
        <v>-6618.12</v>
      </c>
      <c r="N909" s="275">
        <f t="shared" si="518"/>
        <v>-6617.12</v>
      </c>
    </row>
    <row r="910" spans="1:14" s="19" customFormat="1" ht="15.75" hidden="1" customHeight="1" x14ac:dyDescent="0.2">
      <c r="A910" s="259" t="s">
        <v>535</v>
      </c>
      <c r="B910" s="271">
        <v>801</v>
      </c>
      <c r="C910" s="252" t="s">
        <v>233</v>
      </c>
      <c r="D910" s="252" t="s">
        <v>192</v>
      </c>
      <c r="E910" s="252" t="s">
        <v>449</v>
      </c>
      <c r="F910" s="252"/>
      <c r="G910" s="264"/>
      <c r="H910" s="264"/>
      <c r="I910" s="275">
        <f>I911</f>
        <v>0</v>
      </c>
      <c r="J910" s="275">
        <f>J911</f>
        <v>0</v>
      </c>
      <c r="K910" s="275">
        <f>K911</f>
        <v>0</v>
      </c>
      <c r="L910" s="275">
        <f>L911</f>
        <v>0</v>
      </c>
      <c r="M910" s="275">
        <f t="shared" ref="M910:N910" si="519">M911</f>
        <v>1</v>
      </c>
      <c r="N910" s="275">
        <f t="shared" si="519"/>
        <v>2</v>
      </c>
    </row>
    <row r="911" spans="1:14" s="19" customFormat="1" ht="18.75" hidden="1" customHeight="1" x14ac:dyDescent="0.2">
      <c r="A911" s="259" t="s">
        <v>338</v>
      </c>
      <c r="B911" s="271">
        <v>801</v>
      </c>
      <c r="C911" s="252" t="s">
        <v>233</v>
      </c>
      <c r="D911" s="252" t="s">
        <v>192</v>
      </c>
      <c r="E911" s="252" t="s">
        <v>449</v>
      </c>
      <c r="F911" s="252" t="s">
        <v>79</v>
      </c>
      <c r="G911" s="264"/>
      <c r="H911" s="264"/>
      <c r="I911" s="275">
        <v>0</v>
      </c>
      <c r="J911" s="275">
        <v>0</v>
      </c>
      <c r="K911" s="275">
        <v>0</v>
      </c>
      <c r="L911" s="275">
        <v>0</v>
      </c>
      <c r="M911" s="275">
        <v>1</v>
      </c>
      <c r="N911" s="275">
        <v>2</v>
      </c>
    </row>
    <row r="912" spans="1:14" ht="30.75" hidden="1" customHeight="1" x14ac:dyDescent="0.2">
      <c r="A912" s="259" t="s">
        <v>1004</v>
      </c>
      <c r="B912" s="271">
        <v>801</v>
      </c>
      <c r="C912" s="252" t="s">
        <v>233</v>
      </c>
      <c r="D912" s="252" t="s">
        <v>190</v>
      </c>
      <c r="E912" s="252" t="s">
        <v>437</v>
      </c>
      <c r="F912" s="252"/>
      <c r="G912" s="256"/>
      <c r="H912" s="256"/>
      <c r="I912" s="257">
        <f>I913</f>
        <v>-3309.56</v>
      </c>
      <c r="J912" s="257">
        <f>J913</f>
        <v>-3309.56</v>
      </c>
      <c r="K912" s="257">
        <f>K913</f>
        <v>-3309.56</v>
      </c>
      <c r="L912" s="257">
        <f>L913</f>
        <v>-3309.56</v>
      </c>
      <c r="M912" s="257">
        <f t="shared" ref="M912:N912" si="520">M913</f>
        <v>-6619.12</v>
      </c>
      <c r="N912" s="257">
        <f t="shared" si="520"/>
        <v>-6619.12</v>
      </c>
    </row>
    <row r="913" spans="1:14" ht="31.5" hidden="1" customHeight="1" x14ac:dyDescent="0.2">
      <c r="A913" s="273" t="s">
        <v>416</v>
      </c>
      <c r="B913" s="271">
        <v>801</v>
      </c>
      <c r="C913" s="252" t="s">
        <v>233</v>
      </c>
      <c r="D913" s="252" t="s">
        <v>190</v>
      </c>
      <c r="E913" s="252" t="s">
        <v>437</v>
      </c>
      <c r="F913" s="252" t="s">
        <v>417</v>
      </c>
      <c r="G913" s="256"/>
      <c r="H913" s="256"/>
      <c r="I913" s="257">
        <v>-3309.56</v>
      </c>
      <c r="J913" s="257">
        <f>G913+I913</f>
        <v>-3309.56</v>
      </c>
      <c r="K913" s="257">
        <v>-3309.56</v>
      </c>
      <c r="L913" s="257">
        <f>H913+J913</f>
        <v>-3309.56</v>
      </c>
      <c r="M913" s="257">
        <f t="shared" ref="M913:N913" si="521">I913+K913</f>
        <v>-6619.12</v>
      </c>
      <c r="N913" s="257">
        <f t="shared" si="521"/>
        <v>-6619.12</v>
      </c>
    </row>
    <row r="914" spans="1:14" ht="52.5" customHeight="1" x14ac:dyDescent="0.2">
      <c r="A914" s="259" t="s">
        <v>984</v>
      </c>
      <c r="B914" s="252" t="s">
        <v>146</v>
      </c>
      <c r="C914" s="252" t="s">
        <v>198</v>
      </c>
      <c r="D914" s="252" t="s">
        <v>192</v>
      </c>
      <c r="E914" s="252" t="s">
        <v>816</v>
      </c>
      <c r="F914" s="250"/>
      <c r="G914" s="257">
        <f>G915+G919+G922</f>
        <v>0</v>
      </c>
      <c r="H914" s="257">
        <f>H915+H919+H934</f>
        <v>7105</v>
      </c>
      <c r="I914" s="257">
        <f>I915+I919+I934</f>
        <v>13146.58</v>
      </c>
      <c r="J914" s="257">
        <f>J915+J919+J934</f>
        <v>20251.580000000002</v>
      </c>
      <c r="K914" s="257">
        <f>K915+K919+K934+K917</f>
        <v>18073.350000000002</v>
      </c>
      <c r="L914" s="257">
        <f>L915+L925+L935+L919</f>
        <v>2200</v>
      </c>
      <c r="M914" s="257">
        <f t="shared" ref="M914" si="522">M915+M925+M935+M919</f>
        <v>-505.40000000000009</v>
      </c>
      <c r="N914" s="257">
        <f>N915+N925+N935+N919</f>
        <v>1694.6</v>
      </c>
    </row>
    <row r="915" spans="1:14" ht="18" customHeight="1" x14ac:dyDescent="0.2">
      <c r="A915" s="259" t="s">
        <v>522</v>
      </c>
      <c r="B915" s="252" t="s">
        <v>146</v>
      </c>
      <c r="C915" s="252" t="s">
        <v>198</v>
      </c>
      <c r="D915" s="252" t="s">
        <v>192</v>
      </c>
      <c r="E915" s="252" t="s">
        <v>815</v>
      </c>
      <c r="F915" s="252"/>
      <c r="G915" s="257">
        <f>G916+G918</f>
        <v>0</v>
      </c>
      <c r="H915" s="257">
        <f>H916+H918</f>
        <v>994.4</v>
      </c>
      <c r="I915" s="257">
        <f>I916+I918</f>
        <v>0</v>
      </c>
      <c r="J915" s="257">
        <f>H915+I915</f>
        <v>994.4</v>
      </c>
      <c r="K915" s="257">
        <f>K916+K918</f>
        <v>0</v>
      </c>
      <c r="L915" s="257">
        <f>L916</f>
        <v>200</v>
      </c>
      <c r="M915" s="257">
        <f t="shared" ref="M915:N915" si="523">M916</f>
        <v>-150</v>
      </c>
      <c r="N915" s="257">
        <f t="shared" si="523"/>
        <v>50</v>
      </c>
    </row>
    <row r="916" spans="1:14" ht="18" customHeight="1" x14ac:dyDescent="0.2">
      <c r="A916" s="259" t="s">
        <v>93</v>
      </c>
      <c r="B916" s="252" t="s">
        <v>146</v>
      </c>
      <c r="C916" s="252" t="s">
        <v>198</v>
      </c>
      <c r="D916" s="252" t="s">
        <v>192</v>
      </c>
      <c r="E916" s="252" t="s">
        <v>815</v>
      </c>
      <c r="F916" s="252" t="s">
        <v>94</v>
      </c>
      <c r="G916" s="256"/>
      <c r="H916" s="257">
        <v>354.4</v>
      </c>
      <c r="I916" s="257">
        <v>0</v>
      </c>
      <c r="J916" s="257">
        <f>H916+I916</f>
        <v>354.4</v>
      </c>
      <c r="K916" s="257">
        <v>0</v>
      </c>
      <c r="L916" s="257">
        <v>200</v>
      </c>
      <c r="M916" s="257">
        <v>-150</v>
      </c>
      <c r="N916" s="257">
        <f>L916+M916</f>
        <v>50</v>
      </c>
    </row>
    <row r="917" spans="1:14" ht="54" hidden="1" customHeight="1" x14ac:dyDescent="0.2">
      <c r="A917" s="259" t="s">
        <v>1028</v>
      </c>
      <c r="B917" s="252" t="s">
        <v>146</v>
      </c>
      <c r="C917" s="252" t="s">
        <v>198</v>
      </c>
      <c r="D917" s="252" t="s">
        <v>192</v>
      </c>
      <c r="E917" s="252" t="s">
        <v>925</v>
      </c>
      <c r="F917" s="252" t="s">
        <v>94</v>
      </c>
      <c r="G917" s="256"/>
      <c r="H917" s="257"/>
      <c r="I917" s="257"/>
      <c r="J917" s="257"/>
      <c r="K917" s="257">
        <v>2377.9</v>
      </c>
      <c r="L917" s="257">
        <v>0</v>
      </c>
      <c r="M917" s="257">
        <v>0</v>
      </c>
      <c r="N917" s="257">
        <f t="shared" ref="N917:N925" si="524">L917+M917</f>
        <v>0</v>
      </c>
    </row>
    <row r="918" spans="1:14" ht="46.5" hidden="1" customHeight="1" x14ac:dyDescent="0.2">
      <c r="A918" s="259" t="s">
        <v>857</v>
      </c>
      <c r="B918" s="252" t="s">
        <v>146</v>
      </c>
      <c r="C918" s="252" t="s">
        <v>198</v>
      </c>
      <c r="D918" s="252" t="s">
        <v>192</v>
      </c>
      <c r="E918" s="252" t="s">
        <v>858</v>
      </c>
      <c r="F918" s="252" t="s">
        <v>94</v>
      </c>
      <c r="G918" s="256"/>
      <c r="H918" s="257">
        <v>640</v>
      </c>
      <c r="I918" s="257">
        <v>0</v>
      </c>
      <c r="J918" s="257">
        <f>H918+I918</f>
        <v>640</v>
      </c>
      <c r="K918" s="257">
        <v>0</v>
      </c>
      <c r="L918" s="257">
        <v>0</v>
      </c>
      <c r="M918" s="257">
        <v>0</v>
      </c>
      <c r="N918" s="257">
        <f t="shared" si="524"/>
        <v>0</v>
      </c>
    </row>
    <row r="919" spans="1:14" ht="17.25" customHeight="1" x14ac:dyDescent="0.2">
      <c r="A919" s="259" t="s">
        <v>523</v>
      </c>
      <c r="B919" s="252" t="s">
        <v>146</v>
      </c>
      <c r="C919" s="252" t="s">
        <v>198</v>
      </c>
      <c r="D919" s="252" t="s">
        <v>192</v>
      </c>
      <c r="E919" s="252" t="s">
        <v>814</v>
      </c>
      <c r="F919" s="252"/>
      <c r="G919" s="256"/>
      <c r="H919" s="257">
        <f>H920+H922+H924+H930+H931+H923</f>
        <v>6110.6</v>
      </c>
      <c r="I919" s="257">
        <f>I920+I922+I924+I930+I931+I923</f>
        <v>12146.58</v>
      </c>
      <c r="J919" s="257">
        <f>H919+I919</f>
        <v>18257.18</v>
      </c>
      <c r="K919" s="257">
        <f>K920+K922+K924+K930+K931+K923+K921+K925+K926+K927+K928+K929</f>
        <v>15695.45</v>
      </c>
      <c r="L919" s="257">
        <f>L920+L922+L924</f>
        <v>0</v>
      </c>
      <c r="M919" s="257">
        <f t="shared" ref="M919:N919" si="525">M920+M922+M924</f>
        <v>200</v>
      </c>
      <c r="N919" s="257">
        <f t="shared" si="525"/>
        <v>200</v>
      </c>
    </row>
    <row r="920" spans="1:14" ht="17.25" customHeight="1" x14ac:dyDescent="0.2">
      <c r="A920" s="259" t="s">
        <v>93</v>
      </c>
      <c r="B920" s="252" t="s">
        <v>146</v>
      </c>
      <c r="C920" s="252" t="s">
        <v>198</v>
      </c>
      <c r="D920" s="252" t="s">
        <v>192</v>
      </c>
      <c r="E920" s="252" t="s">
        <v>859</v>
      </c>
      <c r="F920" s="252" t="s">
        <v>94</v>
      </c>
      <c r="G920" s="256"/>
      <c r="H920" s="257">
        <v>800</v>
      </c>
      <c r="I920" s="257">
        <v>0</v>
      </c>
      <c r="J920" s="257">
        <f>H920+I920</f>
        <v>800</v>
      </c>
      <c r="K920" s="257">
        <v>-716.25</v>
      </c>
      <c r="L920" s="257">
        <v>0</v>
      </c>
      <c r="M920" s="257">
        <v>100</v>
      </c>
      <c r="N920" s="257">
        <f t="shared" si="524"/>
        <v>100</v>
      </c>
    </row>
    <row r="921" spans="1:14" ht="17.25" hidden="1" customHeight="1" x14ac:dyDescent="0.2">
      <c r="A921" s="259" t="s">
        <v>93</v>
      </c>
      <c r="B921" s="252" t="s">
        <v>146</v>
      </c>
      <c r="C921" s="252" t="s">
        <v>198</v>
      </c>
      <c r="D921" s="252" t="s">
        <v>192</v>
      </c>
      <c r="E921" s="252" t="s">
        <v>859</v>
      </c>
      <c r="F921" s="252" t="s">
        <v>0</v>
      </c>
      <c r="G921" s="256"/>
      <c r="H921" s="257"/>
      <c r="I921" s="257"/>
      <c r="J921" s="257"/>
      <c r="K921" s="257">
        <v>110</v>
      </c>
      <c r="L921" s="257">
        <v>0</v>
      </c>
      <c r="M921" s="257">
        <v>0</v>
      </c>
      <c r="N921" s="257">
        <f t="shared" si="524"/>
        <v>0</v>
      </c>
    </row>
    <row r="922" spans="1:14" ht="17.25" customHeight="1" x14ac:dyDescent="0.2">
      <c r="A922" s="259" t="s">
        <v>93</v>
      </c>
      <c r="B922" s="252" t="s">
        <v>146</v>
      </c>
      <c r="C922" s="252" t="s">
        <v>198</v>
      </c>
      <c r="D922" s="252" t="s">
        <v>192</v>
      </c>
      <c r="E922" s="252" t="s">
        <v>860</v>
      </c>
      <c r="F922" s="252" t="s">
        <v>94</v>
      </c>
      <c r="G922" s="256"/>
      <c r="H922" s="257">
        <v>1000</v>
      </c>
      <c r="I922" s="257">
        <v>0</v>
      </c>
      <c r="J922" s="257">
        <f t="shared" ref="J922:J939" si="526">H922+I922</f>
        <v>1000</v>
      </c>
      <c r="K922" s="257">
        <v>0</v>
      </c>
      <c r="L922" s="257">
        <v>0</v>
      </c>
      <c r="M922" s="257">
        <v>100</v>
      </c>
      <c r="N922" s="257">
        <f t="shared" si="524"/>
        <v>100</v>
      </c>
    </row>
    <row r="923" spans="1:14" ht="17.25" hidden="1" customHeight="1" x14ac:dyDescent="0.2">
      <c r="A923" s="259" t="s">
        <v>78</v>
      </c>
      <c r="B923" s="252" t="s">
        <v>146</v>
      </c>
      <c r="C923" s="252" t="s">
        <v>198</v>
      </c>
      <c r="D923" s="252" t="s">
        <v>192</v>
      </c>
      <c r="E923" s="252" t="s">
        <v>860</v>
      </c>
      <c r="F923" s="252" t="s">
        <v>79</v>
      </c>
      <c r="G923" s="256"/>
      <c r="H923" s="257"/>
      <c r="I923" s="257">
        <f>50+276.58+220</f>
        <v>546.57999999999993</v>
      </c>
      <c r="J923" s="257">
        <f>H923+I923</f>
        <v>546.57999999999993</v>
      </c>
      <c r="K923" s="257">
        <v>0</v>
      </c>
      <c r="L923" s="257">
        <v>0</v>
      </c>
      <c r="M923" s="257">
        <v>0</v>
      </c>
      <c r="N923" s="257">
        <f t="shared" si="524"/>
        <v>0</v>
      </c>
    </row>
    <row r="924" spans="1:14" ht="17.25" hidden="1" customHeight="1" x14ac:dyDescent="0.2">
      <c r="A924" s="259" t="s">
        <v>1027</v>
      </c>
      <c r="B924" s="252" t="s">
        <v>146</v>
      </c>
      <c r="C924" s="252" t="s">
        <v>198</v>
      </c>
      <c r="D924" s="252" t="s">
        <v>192</v>
      </c>
      <c r="E924" s="252" t="s">
        <v>814</v>
      </c>
      <c r="F924" s="252" t="s">
        <v>57</v>
      </c>
      <c r="G924" s="256"/>
      <c r="H924" s="257">
        <v>2000</v>
      </c>
      <c r="I924" s="257">
        <f>4000+3000+1000+1100+2500</f>
        <v>11600</v>
      </c>
      <c r="J924" s="257">
        <f t="shared" si="526"/>
        <v>13600</v>
      </c>
      <c r="K924" s="257">
        <v>1900</v>
      </c>
      <c r="L924" s="257">
        <v>0</v>
      </c>
      <c r="M924" s="257">
        <v>0</v>
      </c>
      <c r="N924" s="257">
        <f t="shared" si="524"/>
        <v>0</v>
      </c>
    </row>
    <row r="925" spans="1:14" ht="42.75" customHeight="1" x14ac:dyDescent="0.2">
      <c r="A925" s="259" t="s">
        <v>937</v>
      </c>
      <c r="B925" s="252" t="s">
        <v>146</v>
      </c>
      <c r="C925" s="252" t="s">
        <v>198</v>
      </c>
      <c r="D925" s="252" t="s">
        <v>192</v>
      </c>
      <c r="E925" s="252" t="s">
        <v>927</v>
      </c>
      <c r="F925" s="252" t="s">
        <v>57</v>
      </c>
      <c r="G925" s="256"/>
      <c r="H925" s="257">
        <v>2000</v>
      </c>
      <c r="I925" s="257">
        <f>4000+3000+1000+1100+2500</f>
        <v>11600</v>
      </c>
      <c r="J925" s="257">
        <v>0</v>
      </c>
      <c r="K925" s="257">
        <f>7000-5000</f>
        <v>2000</v>
      </c>
      <c r="L925" s="257">
        <v>2000</v>
      </c>
      <c r="M925" s="257">
        <v>-2000</v>
      </c>
      <c r="N925" s="257">
        <f t="shared" si="524"/>
        <v>0</v>
      </c>
    </row>
    <row r="926" spans="1:14" ht="17.25" hidden="1" customHeight="1" x14ac:dyDescent="0.2">
      <c r="A926" s="259" t="s">
        <v>936</v>
      </c>
      <c r="B926" s="252" t="s">
        <v>146</v>
      </c>
      <c r="C926" s="252" t="s">
        <v>198</v>
      </c>
      <c r="D926" s="252" t="s">
        <v>192</v>
      </c>
      <c r="E926" s="252" t="s">
        <v>928</v>
      </c>
      <c r="F926" s="252" t="s">
        <v>926</v>
      </c>
      <c r="G926" s="256"/>
      <c r="H926" s="257"/>
      <c r="I926" s="257"/>
      <c r="J926" s="257"/>
      <c r="K926" s="257">
        <v>1910.6</v>
      </c>
      <c r="L926" s="257">
        <v>0</v>
      </c>
      <c r="M926" s="257"/>
      <c r="N926" s="257">
        <v>0</v>
      </c>
    </row>
    <row r="927" spans="1:14" ht="17.25" hidden="1" customHeight="1" x14ac:dyDescent="0.2">
      <c r="A927" s="259" t="s">
        <v>934</v>
      </c>
      <c r="B927" s="252" t="s">
        <v>146</v>
      </c>
      <c r="C927" s="252" t="s">
        <v>198</v>
      </c>
      <c r="D927" s="252" t="s">
        <v>192</v>
      </c>
      <c r="E927" s="252" t="s">
        <v>928</v>
      </c>
      <c r="F927" s="252" t="s">
        <v>0</v>
      </c>
      <c r="G927" s="256"/>
      <c r="H927" s="257"/>
      <c r="I927" s="257"/>
      <c r="J927" s="257"/>
      <c r="K927" s="257">
        <v>5000</v>
      </c>
      <c r="L927" s="257">
        <v>0</v>
      </c>
      <c r="M927" s="257"/>
      <c r="N927" s="257">
        <v>0</v>
      </c>
    </row>
    <row r="928" spans="1:14" ht="17.25" hidden="1" customHeight="1" x14ac:dyDescent="0.2">
      <c r="A928" s="259" t="s">
        <v>879</v>
      </c>
      <c r="B928" s="252" t="s">
        <v>146</v>
      </c>
      <c r="C928" s="252" t="s">
        <v>198</v>
      </c>
      <c r="D928" s="252" t="s">
        <v>192</v>
      </c>
      <c r="E928" s="252" t="s">
        <v>880</v>
      </c>
      <c r="F928" s="252" t="s">
        <v>926</v>
      </c>
      <c r="G928" s="256"/>
      <c r="H928" s="257"/>
      <c r="I928" s="257"/>
      <c r="J928" s="257"/>
      <c r="K928" s="257">
        <v>1500</v>
      </c>
      <c r="L928" s="257">
        <v>0</v>
      </c>
      <c r="M928" s="257"/>
      <c r="N928" s="257">
        <v>0</v>
      </c>
    </row>
    <row r="929" spans="1:14" ht="17.25" hidden="1" customHeight="1" x14ac:dyDescent="0.2">
      <c r="A929" s="259" t="s">
        <v>935</v>
      </c>
      <c r="B929" s="252" t="s">
        <v>146</v>
      </c>
      <c r="C929" s="252" t="s">
        <v>198</v>
      </c>
      <c r="D929" s="252" t="s">
        <v>192</v>
      </c>
      <c r="E929" s="252" t="s">
        <v>929</v>
      </c>
      <c r="F929" s="252" t="s">
        <v>926</v>
      </c>
      <c r="G929" s="256"/>
      <c r="H929" s="257"/>
      <c r="I929" s="257"/>
      <c r="J929" s="257"/>
      <c r="K929" s="257">
        <v>6301.7</v>
      </c>
      <c r="L929" s="257">
        <v>0</v>
      </c>
      <c r="M929" s="257"/>
      <c r="N929" s="257">
        <v>0</v>
      </c>
    </row>
    <row r="930" spans="1:14" ht="53.25" hidden="1" customHeight="1" x14ac:dyDescent="0.2">
      <c r="A930" s="259" t="s">
        <v>879</v>
      </c>
      <c r="B930" s="252" t="s">
        <v>146</v>
      </c>
      <c r="C930" s="252" t="s">
        <v>198</v>
      </c>
      <c r="D930" s="252" t="s">
        <v>192</v>
      </c>
      <c r="E930" s="252" t="s">
        <v>881</v>
      </c>
      <c r="F930" s="252" t="s">
        <v>79</v>
      </c>
      <c r="G930" s="256"/>
      <c r="H930" s="257">
        <v>1410.6</v>
      </c>
      <c r="I930" s="257">
        <v>0</v>
      </c>
      <c r="J930" s="257">
        <f t="shared" si="526"/>
        <v>1410.6</v>
      </c>
      <c r="K930" s="257">
        <v>-1410.6</v>
      </c>
      <c r="L930" s="257">
        <f t="shared" ref="L930:L933" si="527">I930+J930</f>
        <v>1410.6</v>
      </c>
      <c r="M930" s="257"/>
      <c r="N930" s="257">
        <f>J930+K930</f>
        <v>0</v>
      </c>
    </row>
    <row r="931" spans="1:14" ht="54.75" hidden="1" customHeight="1" x14ac:dyDescent="0.2">
      <c r="A931" s="259" t="s">
        <v>879</v>
      </c>
      <c r="B931" s="252" t="s">
        <v>146</v>
      </c>
      <c r="C931" s="252" t="s">
        <v>198</v>
      </c>
      <c r="D931" s="252" t="s">
        <v>192</v>
      </c>
      <c r="E931" s="252" t="s">
        <v>880</v>
      </c>
      <c r="F931" s="252" t="s">
        <v>79</v>
      </c>
      <c r="G931" s="256"/>
      <c r="H931" s="257">
        <v>900</v>
      </c>
      <c r="I931" s="257">
        <v>0</v>
      </c>
      <c r="J931" s="257">
        <f t="shared" si="526"/>
        <v>900</v>
      </c>
      <c r="K931" s="257">
        <v>-900</v>
      </c>
      <c r="L931" s="257">
        <f t="shared" si="527"/>
        <v>900</v>
      </c>
      <c r="M931" s="257"/>
      <c r="N931" s="257">
        <f>J931+K931</f>
        <v>0</v>
      </c>
    </row>
    <row r="932" spans="1:14" ht="60" hidden="1" customHeight="1" x14ac:dyDescent="0.2">
      <c r="A932" s="273" t="s">
        <v>812</v>
      </c>
      <c r="B932" s="271" t="s">
        <v>146</v>
      </c>
      <c r="C932" s="252" t="s">
        <v>198</v>
      </c>
      <c r="D932" s="252" t="s">
        <v>192</v>
      </c>
      <c r="E932" s="252" t="s">
        <v>813</v>
      </c>
      <c r="F932" s="252"/>
      <c r="G932" s="256"/>
      <c r="H932" s="256"/>
      <c r="I932" s="257">
        <f>I933</f>
        <v>0</v>
      </c>
      <c r="J932" s="257">
        <f t="shared" si="526"/>
        <v>0</v>
      </c>
      <c r="K932" s="257">
        <f>K933</f>
        <v>0</v>
      </c>
      <c r="L932" s="257">
        <f t="shared" si="527"/>
        <v>0</v>
      </c>
      <c r="M932" s="257"/>
      <c r="N932" s="257">
        <f>J932+K932</f>
        <v>0</v>
      </c>
    </row>
    <row r="933" spans="1:14" ht="30.75" hidden="1" customHeight="1" x14ac:dyDescent="0.2">
      <c r="A933" s="273" t="s">
        <v>93</v>
      </c>
      <c r="B933" s="271" t="s">
        <v>146</v>
      </c>
      <c r="C933" s="252" t="s">
        <v>198</v>
      </c>
      <c r="D933" s="252" t="s">
        <v>192</v>
      </c>
      <c r="E933" s="252" t="s">
        <v>813</v>
      </c>
      <c r="F933" s="252" t="s">
        <v>94</v>
      </c>
      <c r="G933" s="256"/>
      <c r="H933" s="256"/>
      <c r="I933" s="257">
        <v>0</v>
      </c>
      <c r="J933" s="257">
        <f t="shared" si="526"/>
        <v>0</v>
      </c>
      <c r="K933" s="257">
        <v>0</v>
      </c>
      <c r="L933" s="257">
        <f t="shared" si="527"/>
        <v>0</v>
      </c>
      <c r="M933" s="257"/>
      <c r="N933" s="257">
        <f>J933+K933</f>
        <v>0</v>
      </c>
    </row>
    <row r="934" spans="1:14" ht="22.5" hidden="1" customHeight="1" x14ac:dyDescent="0.2">
      <c r="A934" s="259" t="s">
        <v>521</v>
      </c>
      <c r="B934" s="271">
        <v>801</v>
      </c>
      <c r="C934" s="252" t="s">
        <v>198</v>
      </c>
      <c r="D934" s="252" t="s">
        <v>192</v>
      </c>
      <c r="E934" s="252" t="s">
        <v>821</v>
      </c>
      <c r="F934" s="252" t="s">
        <v>79</v>
      </c>
      <c r="G934" s="256"/>
      <c r="H934" s="257">
        <v>0</v>
      </c>
      <c r="I934" s="257">
        <v>1000</v>
      </c>
      <c r="J934" s="257">
        <f t="shared" si="526"/>
        <v>1000</v>
      </c>
      <c r="K934" s="257">
        <v>0</v>
      </c>
      <c r="L934" s="257">
        <v>0</v>
      </c>
      <c r="M934" s="257"/>
      <c r="N934" s="257">
        <v>0</v>
      </c>
    </row>
    <row r="935" spans="1:14" ht="50.25" customHeight="1" x14ac:dyDescent="0.2">
      <c r="A935" s="259" t="s">
        <v>1013</v>
      </c>
      <c r="B935" s="271">
        <v>801</v>
      </c>
      <c r="C935" s="252" t="s">
        <v>198</v>
      </c>
      <c r="D935" s="252" t="s">
        <v>192</v>
      </c>
      <c r="E935" s="252" t="s">
        <v>1014</v>
      </c>
      <c r="F935" s="252" t="s">
        <v>57</v>
      </c>
      <c r="G935" s="256"/>
      <c r="H935" s="257"/>
      <c r="I935" s="257"/>
      <c r="J935" s="257"/>
      <c r="K935" s="257"/>
      <c r="L935" s="257">
        <v>0</v>
      </c>
      <c r="M935" s="257">
        <v>1444.6</v>
      </c>
      <c r="N935" s="257">
        <f>L935+M935</f>
        <v>1444.6</v>
      </c>
    </row>
    <row r="936" spans="1:14" s="19" customFormat="1" ht="22.5" hidden="1" customHeight="1" x14ac:dyDescent="0.2">
      <c r="A936" s="398" t="s">
        <v>224</v>
      </c>
      <c r="B936" s="249">
        <v>801</v>
      </c>
      <c r="C936" s="250" t="s">
        <v>198</v>
      </c>
      <c r="D936" s="250" t="s">
        <v>194</v>
      </c>
      <c r="E936" s="250"/>
      <c r="F936" s="250"/>
      <c r="G936" s="264"/>
      <c r="H936" s="275"/>
      <c r="I936" s="275"/>
      <c r="J936" s="275"/>
      <c r="K936" s="275"/>
      <c r="L936" s="275">
        <f>L937</f>
        <v>147.69999999999999</v>
      </c>
      <c r="M936" s="275">
        <f t="shared" ref="M936:N937" si="528">M937</f>
        <v>-147.69999999999999</v>
      </c>
      <c r="N936" s="275">
        <f t="shared" si="528"/>
        <v>0</v>
      </c>
    </row>
    <row r="937" spans="1:14" ht="59.25" hidden="1" customHeight="1" x14ac:dyDescent="0.2">
      <c r="A937" s="259" t="s">
        <v>945</v>
      </c>
      <c r="B937" s="271">
        <v>801</v>
      </c>
      <c r="C937" s="252" t="s">
        <v>198</v>
      </c>
      <c r="D937" s="252" t="s">
        <v>194</v>
      </c>
      <c r="E937" s="252" t="s">
        <v>944</v>
      </c>
      <c r="F937" s="252"/>
      <c r="G937" s="256"/>
      <c r="H937" s="257"/>
      <c r="I937" s="257"/>
      <c r="J937" s="257"/>
      <c r="K937" s="257"/>
      <c r="L937" s="257">
        <f>L938</f>
        <v>147.69999999999999</v>
      </c>
      <c r="M937" s="257">
        <f t="shared" si="528"/>
        <v>-147.69999999999999</v>
      </c>
      <c r="N937" s="257">
        <f t="shared" si="528"/>
        <v>0</v>
      </c>
    </row>
    <row r="938" spans="1:14" ht="22.5" hidden="1" customHeight="1" x14ac:dyDescent="0.2">
      <c r="A938" s="259" t="s">
        <v>93</v>
      </c>
      <c r="B938" s="271">
        <v>801</v>
      </c>
      <c r="C938" s="252" t="s">
        <v>198</v>
      </c>
      <c r="D938" s="252" t="s">
        <v>194</v>
      </c>
      <c r="E938" s="252" t="s">
        <v>944</v>
      </c>
      <c r="F938" s="252" t="s">
        <v>94</v>
      </c>
      <c r="G938" s="256"/>
      <c r="H938" s="257"/>
      <c r="I938" s="257"/>
      <c r="J938" s="257"/>
      <c r="K938" s="257"/>
      <c r="L938" s="257">
        <v>147.69999999999999</v>
      </c>
      <c r="M938" s="257">
        <v>-147.69999999999999</v>
      </c>
      <c r="N938" s="257">
        <f>L938+M938</f>
        <v>0</v>
      </c>
    </row>
    <row r="939" spans="1:14" ht="15" customHeight="1" x14ac:dyDescent="0.2">
      <c r="A939" s="268" t="s">
        <v>910</v>
      </c>
      <c r="B939" s="249">
        <v>801</v>
      </c>
      <c r="C939" s="250" t="s">
        <v>202</v>
      </c>
      <c r="D939" s="252"/>
      <c r="E939" s="252"/>
      <c r="F939" s="252"/>
      <c r="G939" s="256"/>
      <c r="H939" s="275">
        <f>H940+H942</f>
        <v>830</v>
      </c>
      <c r="I939" s="275">
        <f>I940+I942</f>
        <v>20</v>
      </c>
      <c r="J939" s="257">
        <f t="shared" si="526"/>
        <v>850</v>
      </c>
      <c r="K939" s="275">
        <f>K940+K942</f>
        <v>0</v>
      </c>
      <c r="L939" s="257">
        <f>L940+L942</f>
        <v>830</v>
      </c>
      <c r="M939" s="257">
        <f>M940+M942</f>
        <v>30</v>
      </c>
      <c r="N939" s="257">
        <f t="shared" ref="N939" si="529">N940+N942</f>
        <v>860</v>
      </c>
    </row>
    <row r="940" spans="1:14" ht="18.75" hidden="1" customHeight="1" x14ac:dyDescent="0.2">
      <c r="A940" s="268" t="s">
        <v>227</v>
      </c>
      <c r="B940" s="249">
        <v>801</v>
      </c>
      <c r="C940" s="250" t="s">
        <v>202</v>
      </c>
      <c r="D940" s="250" t="s">
        <v>190</v>
      </c>
      <c r="E940" s="252"/>
      <c r="F940" s="252"/>
      <c r="G940" s="256"/>
      <c r="H940" s="275">
        <f>H941</f>
        <v>0</v>
      </c>
      <c r="I940" s="275">
        <f>I941</f>
        <v>20</v>
      </c>
      <c r="J940" s="275">
        <f>H940+I940</f>
        <v>20</v>
      </c>
      <c r="K940" s="275">
        <f>K941</f>
        <v>0</v>
      </c>
      <c r="L940" s="275">
        <f>L941</f>
        <v>0</v>
      </c>
      <c r="M940" s="275">
        <f t="shared" ref="M940:N940" si="530">M941</f>
        <v>0</v>
      </c>
      <c r="N940" s="275">
        <f t="shared" si="530"/>
        <v>0</v>
      </c>
    </row>
    <row r="941" spans="1:14" ht="18.75" hidden="1" customHeight="1" x14ac:dyDescent="0.2">
      <c r="A941" s="259" t="s">
        <v>78</v>
      </c>
      <c r="B941" s="271">
        <v>801</v>
      </c>
      <c r="C941" s="252" t="s">
        <v>202</v>
      </c>
      <c r="D941" s="252" t="s">
        <v>190</v>
      </c>
      <c r="E941" s="252" t="s">
        <v>909</v>
      </c>
      <c r="F941" s="252" t="s">
        <v>79</v>
      </c>
      <c r="G941" s="256"/>
      <c r="H941" s="257">
        <v>0</v>
      </c>
      <c r="I941" s="257">
        <v>20</v>
      </c>
      <c r="J941" s="257">
        <f>H941+I941</f>
        <v>20</v>
      </c>
      <c r="K941" s="257">
        <v>0</v>
      </c>
      <c r="L941" s="257">
        <v>0</v>
      </c>
      <c r="M941" s="257">
        <v>0</v>
      </c>
      <c r="N941" s="257">
        <f>L941+M941</f>
        <v>0</v>
      </c>
    </row>
    <row r="942" spans="1:14" s="19" customFormat="1" ht="15.75" customHeight="1" x14ac:dyDescent="0.2">
      <c r="A942" s="379" t="s">
        <v>228</v>
      </c>
      <c r="B942" s="249">
        <v>801</v>
      </c>
      <c r="C942" s="250" t="s">
        <v>202</v>
      </c>
      <c r="D942" s="250" t="s">
        <v>192</v>
      </c>
      <c r="E942" s="250"/>
      <c r="F942" s="250"/>
      <c r="G942" s="264"/>
      <c r="H942" s="275">
        <f t="shared" ref="H942:N942" si="531">H943</f>
        <v>830</v>
      </c>
      <c r="I942" s="275">
        <f t="shared" si="531"/>
        <v>0</v>
      </c>
      <c r="J942" s="275">
        <f t="shared" si="531"/>
        <v>830</v>
      </c>
      <c r="K942" s="275">
        <f t="shared" si="531"/>
        <v>0</v>
      </c>
      <c r="L942" s="275">
        <f t="shared" si="531"/>
        <v>830</v>
      </c>
      <c r="M942" s="275">
        <f t="shared" si="531"/>
        <v>30</v>
      </c>
      <c r="N942" s="275">
        <f t="shared" si="531"/>
        <v>860</v>
      </c>
    </row>
    <row r="943" spans="1:14" ht="30.75" customHeight="1" x14ac:dyDescent="0.2">
      <c r="A943" s="273" t="s">
        <v>976</v>
      </c>
      <c r="B943" s="271" t="s">
        <v>146</v>
      </c>
      <c r="C943" s="252" t="s">
        <v>202</v>
      </c>
      <c r="D943" s="252" t="s">
        <v>192</v>
      </c>
      <c r="E943" s="252" t="s">
        <v>784</v>
      </c>
      <c r="F943" s="252" t="s">
        <v>94</v>
      </c>
      <c r="G943" s="256"/>
      <c r="H943" s="257">
        <v>830</v>
      </c>
      <c r="I943" s="257">
        <v>0</v>
      </c>
      <c r="J943" s="257">
        <f>H943+I943</f>
        <v>830</v>
      </c>
      <c r="K943" s="257">
        <v>0</v>
      </c>
      <c r="L943" s="257">
        <v>830</v>
      </c>
      <c r="M943" s="257">
        <v>30</v>
      </c>
      <c r="N943" s="257">
        <f>L943+M943</f>
        <v>860</v>
      </c>
    </row>
    <row r="944" spans="1:14" s="19" customFormat="1" ht="16.5" customHeight="1" x14ac:dyDescent="0.2">
      <c r="A944" s="379" t="s">
        <v>81</v>
      </c>
      <c r="B944" s="249">
        <v>801</v>
      </c>
      <c r="C944" s="250" t="s">
        <v>233</v>
      </c>
      <c r="D944" s="250" t="s">
        <v>190</v>
      </c>
      <c r="E944" s="250"/>
      <c r="F944" s="250"/>
      <c r="G944" s="275">
        <f>G946+G945</f>
        <v>0</v>
      </c>
      <c r="H944" s="275">
        <f t="shared" ref="H944:L944" si="532">H945+H946</f>
        <v>1161.3</v>
      </c>
      <c r="I944" s="275">
        <f t="shared" si="532"/>
        <v>0</v>
      </c>
      <c r="J944" s="275">
        <f t="shared" si="532"/>
        <v>1161.3</v>
      </c>
      <c r="K944" s="275">
        <f t="shared" si="532"/>
        <v>-1161.3</v>
      </c>
      <c r="L944" s="275">
        <f t="shared" si="532"/>
        <v>1500</v>
      </c>
      <c r="M944" s="275">
        <f>M945+M946</f>
        <v>-1229</v>
      </c>
      <c r="N944" s="275">
        <f t="shared" ref="N944" si="533">N945+N946</f>
        <v>271</v>
      </c>
    </row>
    <row r="945" spans="1:14" s="20" customFormat="1" ht="51" hidden="1" customHeight="1" x14ac:dyDescent="0.2">
      <c r="A945" s="273" t="s">
        <v>1011</v>
      </c>
      <c r="B945" s="271">
        <v>801</v>
      </c>
      <c r="C945" s="252" t="s">
        <v>233</v>
      </c>
      <c r="D945" s="252" t="s">
        <v>190</v>
      </c>
      <c r="E945" s="252" t="s">
        <v>878</v>
      </c>
      <c r="F945" s="252" t="s">
        <v>79</v>
      </c>
      <c r="G945" s="256"/>
      <c r="H945" s="257">
        <v>361.3</v>
      </c>
      <c r="I945" s="257">
        <v>0</v>
      </c>
      <c r="J945" s="257">
        <f>H945+I945</f>
        <v>361.3</v>
      </c>
      <c r="K945" s="257">
        <v>-361.3</v>
      </c>
      <c r="L945" s="257">
        <v>0</v>
      </c>
      <c r="M945" s="257">
        <v>0</v>
      </c>
      <c r="N945" s="257">
        <f>L945+M945</f>
        <v>0</v>
      </c>
    </row>
    <row r="946" spans="1:14" ht="32.25" customHeight="1" x14ac:dyDescent="0.2">
      <c r="A946" s="273" t="s">
        <v>535</v>
      </c>
      <c r="B946" s="271">
        <v>801</v>
      </c>
      <c r="C946" s="252" t="s">
        <v>233</v>
      </c>
      <c r="D946" s="252" t="s">
        <v>190</v>
      </c>
      <c r="E946" s="252" t="s">
        <v>1038</v>
      </c>
      <c r="F946" s="252"/>
      <c r="G946" s="256"/>
      <c r="H946" s="257">
        <f>H947</f>
        <v>800</v>
      </c>
      <c r="I946" s="257">
        <f>I947</f>
        <v>0</v>
      </c>
      <c r="J946" s="257">
        <f>H946+I946</f>
        <v>800</v>
      </c>
      <c r="K946" s="257">
        <f>K947</f>
        <v>-800</v>
      </c>
      <c r="L946" s="257">
        <f>L947</f>
        <v>1500</v>
      </c>
      <c r="M946" s="257">
        <f t="shared" ref="M946:N946" si="534">M947</f>
        <v>-1229</v>
      </c>
      <c r="N946" s="257">
        <f t="shared" si="534"/>
        <v>271</v>
      </c>
    </row>
    <row r="947" spans="1:14" ht="17.25" customHeight="1" x14ac:dyDescent="0.2">
      <c r="A947" s="273" t="s">
        <v>78</v>
      </c>
      <c r="B947" s="271">
        <v>801</v>
      </c>
      <c r="C947" s="252" t="s">
        <v>233</v>
      </c>
      <c r="D947" s="252" t="s">
        <v>190</v>
      </c>
      <c r="E947" s="252" t="s">
        <v>1038</v>
      </c>
      <c r="F947" s="252" t="s">
        <v>79</v>
      </c>
      <c r="G947" s="256"/>
      <c r="H947" s="257">
        <v>800</v>
      </c>
      <c r="I947" s="257">
        <v>0</v>
      </c>
      <c r="J947" s="257">
        <f>H947+I947</f>
        <v>800</v>
      </c>
      <c r="K947" s="257">
        <v>-800</v>
      </c>
      <c r="L947" s="257">
        <v>1500</v>
      </c>
      <c r="M947" s="257">
        <v>-1229</v>
      </c>
      <c r="N947" s="257">
        <f>L947+M947</f>
        <v>271</v>
      </c>
    </row>
    <row r="948" spans="1:14" s="19" customFormat="1" ht="14.25" x14ac:dyDescent="0.2">
      <c r="A948" s="398" t="s">
        <v>65</v>
      </c>
      <c r="B948" s="249">
        <v>801</v>
      </c>
      <c r="C948" s="250">
        <v>10</v>
      </c>
      <c r="D948" s="250"/>
      <c r="E948" s="250"/>
      <c r="F948" s="250"/>
      <c r="G948" s="264"/>
      <c r="H948" s="275" t="e">
        <f>H949+H952+H965</f>
        <v>#REF!</v>
      </c>
      <c r="I948" s="275" t="e">
        <f>I949+I952+I965</f>
        <v>#REF!</v>
      </c>
      <c r="J948" s="275" t="e">
        <f>J949+J952+J965</f>
        <v>#REF!</v>
      </c>
      <c r="K948" s="275" t="e">
        <f>K949+K952+K965</f>
        <v>#REF!</v>
      </c>
      <c r="L948" s="275">
        <f>L949+L952</f>
        <v>2469.4500000000003</v>
      </c>
      <c r="M948" s="275">
        <f t="shared" ref="M948:N948" si="535">M949+M952</f>
        <v>1237.6500000000001</v>
      </c>
      <c r="N948" s="275">
        <f t="shared" si="535"/>
        <v>3707.1000000000004</v>
      </c>
    </row>
    <row r="949" spans="1:14" ht="13.5" customHeight="1" x14ac:dyDescent="0.2">
      <c r="A949" s="398" t="s">
        <v>275</v>
      </c>
      <c r="B949" s="249">
        <v>801</v>
      </c>
      <c r="C949" s="250">
        <v>10</v>
      </c>
      <c r="D949" s="250" t="s">
        <v>190</v>
      </c>
      <c r="E949" s="250"/>
      <c r="F949" s="250"/>
      <c r="G949" s="257" t="e">
        <f>#REF!+G950</f>
        <v>#REF!</v>
      </c>
      <c r="H949" s="257">
        <f>H950</f>
        <v>303.05</v>
      </c>
      <c r="I949" s="257">
        <f>I950</f>
        <v>0</v>
      </c>
      <c r="J949" s="257">
        <f>H949+I949</f>
        <v>303.05</v>
      </c>
      <c r="K949" s="257">
        <f t="shared" ref="K949:N950" si="536">K950</f>
        <v>0</v>
      </c>
      <c r="L949" s="275">
        <f t="shared" si="536"/>
        <v>303.05</v>
      </c>
      <c r="M949" s="275">
        <f t="shared" si="536"/>
        <v>57.95</v>
      </c>
      <c r="N949" s="275">
        <f t="shared" si="536"/>
        <v>361</v>
      </c>
    </row>
    <row r="950" spans="1:14" ht="45" x14ac:dyDescent="0.2">
      <c r="A950" s="259" t="s">
        <v>996</v>
      </c>
      <c r="B950" s="271">
        <v>801</v>
      </c>
      <c r="C950" s="252">
        <v>10</v>
      </c>
      <c r="D950" s="252" t="s">
        <v>190</v>
      </c>
      <c r="E950" s="251" t="s">
        <v>865</v>
      </c>
      <c r="F950" s="252"/>
      <c r="G950" s="256"/>
      <c r="H950" s="257">
        <f>H951</f>
        <v>303.05</v>
      </c>
      <c r="I950" s="257">
        <f>I951</f>
        <v>0</v>
      </c>
      <c r="J950" s="257">
        <f>H950+I950</f>
        <v>303.05</v>
      </c>
      <c r="K950" s="257">
        <f t="shared" si="536"/>
        <v>0</v>
      </c>
      <c r="L950" s="257">
        <f t="shared" si="536"/>
        <v>303.05</v>
      </c>
      <c r="M950" s="257">
        <f t="shared" si="536"/>
        <v>57.95</v>
      </c>
      <c r="N950" s="257">
        <f t="shared" si="536"/>
        <v>361</v>
      </c>
    </row>
    <row r="951" spans="1:14" ht="15" x14ac:dyDescent="0.2">
      <c r="A951" s="259" t="s">
        <v>341</v>
      </c>
      <c r="B951" s="271">
        <v>801</v>
      </c>
      <c r="C951" s="252">
        <v>10</v>
      </c>
      <c r="D951" s="252" t="s">
        <v>190</v>
      </c>
      <c r="E951" s="251" t="s">
        <v>865</v>
      </c>
      <c r="F951" s="252" t="s">
        <v>342</v>
      </c>
      <c r="G951" s="256"/>
      <c r="H951" s="257">
        <v>303.05</v>
      </c>
      <c r="I951" s="257">
        <v>0</v>
      </c>
      <c r="J951" s="257">
        <f>H951+I951</f>
        <v>303.05</v>
      </c>
      <c r="K951" s="257">
        <v>0</v>
      </c>
      <c r="L951" s="257">
        <v>303.05</v>
      </c>
      <c r="M951" s="257">
        <v>57.95</v>
      </c>
      <c r="N951" s="257">
        <f>L951+M951</f>
        <v>361</v>
      </c>
    </row>
    <row r="952" spans="1:14" ht="15" x14ac:dyDescent="0.2">
      <c r="A952" s="398" t="s">
        <v>277</v>
      </c>
      <c r="B952" s="249">
        <v>801</v>
      </c>
      <c r="C952" s="250">
        <v>10</v>
      </c>
      <c r="D952" s="250" t="s">
        <v>194</v>
      </c>
      <c r="E952" s="250"/>
      <c r="F952" s="250"/>
      <c r="G952" s="257" t="e">
        <f>#REF!+#REF!+G953+G963</f>
        <v>#REF!</v>
      </c>
      <c r="H952" s="275" t="e">
        <f>H953</f>
        <v>#REF!</v>
      </c>
      <c r="I952" s="275" t="e">
        <f>I953</f>
        <v>#REF!</v>
      </c>
      <c r="J952" s="275" t="e">
        <f>J953</f>
        <v>#REF!</v>
      </c>
      <c r="K952" s="275" t="e">
        <f>K953+K974</f>
        <v>#REF!</v>
      </c>
      <c r="L952" s="275">
        <f>L953+L974</f>
        <v>2166.4</v>
      </c>
      <c r="M952" s="275">
        <f>M953+M974</f>
        <v>1179.7</v>
      </c>
      <c r="N952" s="275">
        <f>N953+N974</f>
        <v>3346.1000000000004</v>
      </c>
    </row>
    <row r="953" spans="1:14" ht="31.5" customHeight="1" x14ac:dyDescent="0.2">
      <c r="A953" s="259" t="s">
        <v>996</v>
      </c>
      <c r="B953" s="271">
        <v>801</v>
      </c>
      <c r="C953" s="252" t="s">
        <v>214</v>
      </c>
      <c r="D953" s="252" t="s">
        <v>194</v>
      </c>
      <c r="E953" s="252" t="s">
        <v>865</v>
      </c>
      <c r="F953" s="252"/>
      <c r="G953" s="257" t="e">
        <f>#REF!+G956+G959+G961</f>
        <v>#REF!</v>
      </c>
      <c r="H953" s="257" t="e">
        <f>#REF!+H956+H959+H961+H963</f>
        <v>#REF!</v>
      </c>
      <c r="I953" s="257" t="e">
        <f>#REF!+I956+I959+I961+I963</f>
        <v>#REF!</v>
      </c>
      <c r="J953" s="257" t="e">
        <f>#REF!+J956+J959+J961+J963</f>
        <v>#REF!</v>
      </c>
      <c r="K953" s="257" t="e">
        <f>#REF!+K956+K959+K961+K963+K957</f>
        <v>#REF!</v>
      </c>
      <c r="L953" s="257">
        <f>L955+L956+L959+L963+L972</f>
        <v>2166.4</v>
      </c>
      <c r="M953" s="257">
        <f>M955+M956+M959+M963+M972+M961</f>
        <v>1179.7</v>
      </c>
      <c r="N953" s="257">
        <f t="shared" ref="N953" si="537">N955+N956+N959+N963+N972</f>
        <v>3346.1000000000004</v>
      </c>
    </row>
    <row r="954" spans="1:14" ht="17.25" hidden="1" customHeight="1" x14ac:dyDescent="0.2">
      <c r="A954" s="259" t="s">
        <v>724</v>
      </c>
      <c r="B954" s="271">
        <v>801</v>
      </c>
      <c r="C954" s="252" t="s">
        <v>494</v>
      </c>
      <c r="D954" s="252" t="s">
        <v>194</v>
      </c>
      <c r="E954" s="252" t="s">
        <v>793</v>
      </c>
      <c r="F954" s="252" t="s">
        <v>94</v>
      </c>
      <c r="G954" s="256"/>
      <c r="H954" s="257">
        <v>400</v>
      </c>
      <c r="I954" s="257">
        <v>-363.1</v>
      </c>
      <c r="J954" s="257">
        <f t="shared" ref="J954:J964" si="538">H954+I954</f>
        <v>36.899999999999977</v>
      </c>
      <c r="K954" s="257">
        <v>0</v>
      </c>
      <c r="L954" s="257">
        <v>0</v>
      </c>
      <c r="M954" s="257"/>
      <c r="N954" s="257">
        <v>0</v>
      </c>
    </row>
    <row r="955" spans="1:14" ht="29.25" customHeight="1" x14ac:dyDescent="0.2">
      <c r="A955" s="259" t="s">
        <v>724</v>
      </c>
      <c r="B955" s="271">
        <v>801</v>
      </c>
      <c r="C955" s="252" t="s">
        <v>494</v>
      </c>
      <c r="D955" s="252" t="s">
        <v>194</v>
      </c>
      <c r="E955" s="252" t="s">
        <v>793</v>
      </c>
      <c r="F955" s="252" t="s">
        <v>137</v>
      </c>
      <c r="G955" s="256"/>
      <c r="H955" s="257">
        <v>0</v>
      </c>
      <c r="I955" s="257">
        <v>363.1</v>
      </c>
      <c r="J955" s="257">
        <f t="shared" si="538"/>
        <v>363.1</v>
      </c>
      <c r="K955" s="257">
        <v>0</v>
      </c>
      <c r="L955" s="257">
        <v>400</v>
      </c>
      <c r="M955" s="257">
        <v>-200</v>
      </c>
      <c r="N955" s="257">
        <f>L955+M955</f>
        <v>200</v>
      </c>
    </row>
    <row r="956" spans="1:14" ht="17.25" customHeight="1" x14ac:dyDescent="0.2">
      <c r="A956" s="259" t="s">
        <v>738</v>
      </c>
      <c r="B956" s="271">
        <v>801</v>
      </c>
      <c r="C956" s="252" t="s">
        <v>494</v>
      </c>
      <c r="D956" s="252" t="s">
        <v>194</v>
      </c>
      <c r="E956" s="252" t="s">
        <v>792</v>
      </c>
      <c r="F956" s="252" t="s">
        <v>94</v>
      </c>
      <c r="G956" s="256"/>
      <c r="H956" s="257">
        <v>100</v>
      </c>
      <c r="I956" s="257">
        <v>0</v>
      </c>
      <c r="J956" s="257">
        <f t="shared" si="538"/>
        <v>100</v>
      </c>
      <c r="K956" s="257">
        <v>0</v>
      </c>
      <c r="L956" s="257">
        <v>100</v>
      </c>
      <c r="M956" s="257">
        <v>-90</v>
      </c>
      <c r="N956" s="257">
        <f t="shared" ref="N956:N958" si="539">L956+M956</f>
        <v>10</v>
      </c>
    </row>
    <row r="957" spans="1:14" ht="17.25" hidden="1" customHeight="1" x14ac:dyDescent="0.2">
      <c r="A957" s="259" t="s">
        <v>931</v>
      </c>
      <c r="B957" s="271">
        <v>801</v>
      </c>
      <c r="C957" s="252">
        <v>10</v>
      </c>
      <c r="D957" s="252" t="s">
        <v>194</v>
      </c>
      <c r="E957" s="252" t="s">
        <v>930</v>
      </c>
      <c r="F957" s="252"/>
      <c r="G957" s="256"/>
      <c r="H957" s="257">
        <f>H958</f>
        <v>780.7</v>
      </c>
      <c r="I957" s="257">
        <f>I958</f>
        <v>0</v>
      </c>
      <c r="J957" s="257">
        <v>0</v>
      </c>
      <c r="K957" s="257">
        <f>K958</f>
        <v>1516.768</v>
      </c>
      <c r="L957" s="257">
        <f>L958</f>
        <v>0</v>
      </c>
      <c r="M957" s="257"/>
      <c r="N957" s="257">
        <f t="shared" si="539"/>
        <v>0</v>
      </c>
    </row>
    <row r="958" spans="1:14" ht="17.25" hidden="1" customHeight="1" x14ac:dyDescent="0.2">
      <c r="A958" s="259" t="s">
        <v>304</v>
      </c>
      <c r="B958" s="271">
        <v>801</v>
      </c>
      <c r="C958" s="252">
        <v>10</v>
      </c>
      <c r="D958" s="252" t="s">
        <v>194</v>
      </c>
      <c r="E958" s="252" t="s">
        <v>930</v>
      </c>
      <c r="F958" s="252" t="s">
        <v>305</v>
      </c>
      <c r="G958" s="256"/>
      <c r="H958" s="257">
        <v>780.7</v>
      </c>
      <c r="I958" s="257">
        <v>0</v>
      </c>
      <c r="J958" s="257">
        <v>0</v>
      </c>
      <c r="K958" s="257">
        <v>1516.768</v>
      </c>
      <c r="L958" s="257">
        <v>0</v>
      </c>
      <c r="M958" s="257"/>
      <c r="N958" s="257">
        <f t="shared" si="539"/>
        <v>0</v>
      </c>
    </row>
    <row r="959" spans="1:14" ht="58.5" customHeight="1" x14ac:dyDescent="0.2">
      <c r="A959" s="259" t="s">
        <v>791</v>
      </c>
      <c r="B959" s="271">
        <v>801</v>
      </c>
      <c r="C959" s="252">
        <v>10</v>
      </c>
      <c r="D959" s="252" t="s">
        <v>194</v>
      </c>
      <c r="E959" s="252" t="s">
        <v>790</v>
      </c>
      <c r="F959" s="252"/>
      <c r="G959" s="256"/>
      <c r="H959" s="257">
        <f>H960</f>
        <v>780.7</v>
      </c>
      <c r="I959" s="257">
        <f>I960</f>
        <v>0</v>
      </c>
      <c r="J959" s="257">
        <f t="shared" si="538"/>
        <v>780.7</v>
      </c>
      <c r="K959" s="257">
        <f>K960</f>
        <v>-4.29</v>
      </c>
      <c r="L959" s="257">
        <f>L960</f>
        <v>448</v>
      </c>
      <c r="M959" s="257">
        <f t="shared" ref="M959:N959" si="540">M960</f>
        <v>2078.9</v>
      </c>
      <c r="N959" s="257">
        <f t="shared" si="540"/>
        <v>2526.9</v>
      </c>
    </row>
    <row r="960" spans="1:14" ht="18.75" customHeight="1" x14ac:dyDescent="0.2">
      <c r="A960" s="259" t="s">
        <v>304</v>
      </c>
      <c r="B960" s="271">
        <v>801</v>
      </c>
      <c r="C960" s="252">
        <v>10</v>
      </c>
      <c r="D960" s="252" t="s">
        <v>194</v>
      </c>
      <c r="E960" s="252" t="s">
        <v>790</v>
      </c>
      <c r="F960" s="252" t="s">
        <v>305</v>
      </c>
      <c r="G960" s="256"/>
      <c r="H960" s="257">
        <v>780.7</v>
      </c>
      <c r="I960" s="257">
        <v>0</v>
      </c>
      <c r="J960" s="257">
        <f t="shared" si="538"/>
        <v>780.7</v>
      </c>
      <c r="K960" s="257">
        <v>-4.29</v>
      </c>
      <c r="L960" s="257">
        <v>448</v>
      </c>
      <c r="M960" s="257">
        <v>2078.9</v>
      </c>
      <c r="N960" s="257">
        <f>L960+M960</f>
        <v>2526.9</v>
      </c>
    </row>
    <row r="961" spans="1:14" ht="48.75" hidden="1" customHeight="1" x14ac:dyDescent="0.2">
      <c r="A961" s="259" t="s">
        <v>791</v>
      </c>
      <c r="B961" s="271">
        <v>801</v>
      </c>
      <c r="C961" s="252">
        <v>10</v>
      </c>
      <c r="D961" s="252" t="s">
        <v>194</v>
      </c>
      <c r="E961" s="252" t="s">
        <v>1035</v>
      </c>
      <c r="F961" s="252"/>
      <c r="G961" s="256"/>
      <c r="H961" s="257">
        <f>H962</f>
        <v>300</v>
      </c>
      <c r="I961" s="257">
        <f>I962</f>
        <v>0</v>
      </c>
      <c r="J961" s="257">
        <f t="shared" si="538"/>
        <v>300</v>
      </c>
      <c r="K961" s="257">
        <f>K962</f>
        <v>0</v>
      </c>
      <c r="L961" s="257">
        <f>L962</f>
        <v>0</v>
      </c>
      <c r="M961" s="257">
        <f>M962</f>
        <v>0</v>
      </c>
      <c r="N961" s="257">
        <f>N962</f>
        <v>0</v>
      </c>
    </row>
    <row r="962" spans="1:14" ht="23.25" hidden="1" customHeight="1" x14ac:dyDescent="0.2">
      <c r="A962" s="259" t="s">
        <v>304</v>
      </c>
      <c r="B962" s="271">
        <v>801</v>
      </c>
      <c r="C962" s="252">
        <v>10</v>
      </c>
      <c r="D962" s="252" t="s">
        <v>194</v>
      </c>
      <c r="E962" s="252" t="s">
        <v>1035</v>
      </c>
      <c r="F962" s="252" t="s">
        <v>305</v>
      </c>
      <c r="G962" s="256"/>
      <c r="H962" s="257">
        <v>300</v>
      </c>
      <c r="I962" s="257">
        <v>0</v>
      </c>
      <c r="J962" s="257">
        <f t="shared" si="538"/>
        <v>300</v>
      </c>
      <c r="K962" s="257">
        <v>0</v>
      </c>
      <c r="L962" s="257">
        <v>0</v>
      </c>
      <c r="M962" s="257">
        <v>0</v>
      </c>
      <c r="N962" s="257">
        <f>L962+M962</f>
        <v>0</v>
      </c>
    </row>
    <row r="963" spans="1:14" ht="60.75" customHeight="1" x14ac:dyDescent="0.2">
      <c r="A963" s="259" t="s">
        <v>948</v>
      </c>
      <c r="B963" s="271">
        <v>801</v>
      </c>
      <c r="C963" s="252">
        <v>10</v>
      </c>
      <c r="D963" s="252" t="s">
        <v>194</v>
      </c>
      <c r="E963" s="252" t="s">
        <v>949</v>
      </c>
      <c r="F963" s="252"/>
      <c r="G963" s="256"/>
      <c r="H963" s="257">
        <f>H964</f>
        <v>609.20000000000005</v>
      </c>
      <c r="I963" s="257">
        <f>I964</f>
        <v>1218.43</v>
      </c>
      <c r="J963" s="257">
        <f t="shared" si="538"/>
        <v>1827.63</v>
      </c>
      <c r="K963" s="257">
        <f>K964+K973</f>
        <v>0</v>
      </c>
      <c r="L963" s="257">
        <f>L964</f>
        <v>1218.4000000000001</v>
      </c>
      <c r="M963" s="257">
        <f t="shared" ref="M963:N963" si="541">M964</f>
        <v>-609.20000000000005</v>
      </c>
      <c r="N963" s="257">
        <f t="shared" si="541"/>
        <v>609.20000000000005</v>
      </c>
    </row>
    <row r="964" spans="1:14" ht="30" x14ac:dyDescent="0.2">
      <c r="A964" s="259" t="s">
        <v>1017</v>
      </c>
      <c r="B964" s="271">
        <v>801</v>
      </c>
      <c r="C964" s="252">
        <v>10</v>
      </c>
      <c r="D964" s="252" t="s">
        <v>194</v>
      </c>
      <c r="E964" s="252" t="s">
        <v>949</v>
      </c>
      <c r="F964" s="252" t="s">
        <v>342</v>
      </c>
      <c r="G964" s="256"/>
      <c r="H964" s="257">
        <v>609.20000000000005</v>
      </c>
      <c r="I964" s="257">
        <v>1218.43</v>
      </c>
      <c r="J964" s="257">
        <f t="shared" si="538"/>
        <v>1827.63</v>
      </c>
      <c r="K964" s="257">
        <v>-609.21</v>
      </c>
      <c r="L964" s="257">
        <v>1218.4000000000001</v>
      </c>
      <c r="M964" s="257">
        <v>-609.20000000000005</v>
      </c>
      <c r="N964" s="257">
        <f>L964+M964</f>
        <v>609.20000000000005</v>
      </c>
    </row>
    <row r="965" spans="1:14" ht="15" hidden="1" x14ac:dyDescent="0.2">
      <c r="A965" s="259" t="s">
        <v>304</v>
      </c>
      <c r="B965" s="249">
        <v>801</v>
      </c>
      <c r="C965" s="250">
        <v>10</v>
      </c>
      <c r="D965" s="250" t="s">
        <v>200</v>
      </c>
      <c r="E965" s="250"/>
      <c r="F965" s="250"/>
      <c r="G965" s="257" t="e">
        <f>#REF!+G966</f>
        <v>#REF!</v>
      </c>
      <c r="H965" s="275">
        <f t="shared" ref="H965:N965" si="542">H966</f>
        <v>80.099999999999994</v>
      </c>
      <c r="I965" s="275">
        <f t="shared" si="542"/>
        <v>-80.099999999999994</v>
      </c>
      <c r="J965" s="275">
        <f t="shared" si="542"/>
        <v>0</v>
      </c>
      <c r="K965" s="275">
        <f t="shared" si="542"/>
        <v>0</v>
      </c>
      <c r="L965" s="275">
        <f t="shared" si="542"/>
        <v>-80.099999999999994</v>
      </c>
      <c r="M965" s="275"/>
      <c r="N965" s="275">
        <f t="shared" si="542"/>
        <v>0</v>
      </c>
    </row>
    <row r="966" spans="1:14" ht="15" hidden="1" x14ac:dyDescent="0.2">
      <c r="A966" s="259" t="s">
        <v>304</v>
      </c>
      <c r="B966" s="271">
        <v>801</v>
      </c>
      <c r="C966" s="252">
        <v>10</v>
      </c>
      <c r="D966" s="252" t="s">
        <v>200</v>
      </c>
      <c r="E966" s="252" t="s">
        <v>788</v>
      </c>
      <c r="F966" s="252"/>
      <c r="G966" s="256"/>
      <c r="H966" s="257">
        <f>H967</f>
        <v>80.099999999999994</v>
      </c>
      <c r="I966" s="257">
        <f>I967</f>
        <v>-80.099999999999994</v>
      </c>
      <c r="J966" s="257">
        <f>H966+I966</f>
        <v>0</v>
      </c>
      <c r="K966" s="257">
        <f>K967</f>
        <v>0</v>
      </c>
      <c r="L966" s="257">
        <f>I966+J966</f>
        <v>-80.099999999999994</v>
      </c>
      <c r="M966" s="257"/>
      <c r="N966" s="257">
        <f>J966+K966</f>
        <v>0</v>
      </c>
    </row>
    <row r="967" spans="1:14" ht="15" hidden="1" x14ac:dyDescent="0.2">
      <c r="A967" s="259" t="s">
        <v>304</v>
      </c>
      <c r="B967" s="271">
        <v>801</v>
      </c>
      <c r="C967" s="252">
        <v>10</v>
      </c>
      <c r="D967" s="252" t="s">
        <v>200</v>
      </c>
      <c r="E967" s="252" t="s">
        <v>788</v>
      </c>
      <c r="F967" s="252" t="s">
        <v>94</v>
      </c>
      <c r="G967" s="256"/>
      <c r="H967" s="257">
        <v>80.099999999999994</v>
      </c>
      <c r="I967" s="257">
        <v>-80.099999999999994</v>
      </c>
      <c r="J967" s="257">
        <f>H967+I967</f>
        <v>0</v>
      </c>
      <c r="K967" s="257">
        <v>0</v>
      </c>
      <c r="L967" s="257">
        <f>I967+J967</f>
        <v>-80.099999999999994</v>
      </c>
      <c r="M967" s="257"/>
      <c r="N967" s="257">
        <f>J967+K967</f>
        <v>0</v>
      </c>
    </row>
    <row r="968" spans="1:14" ht="21.75" hidden="1" customHeight="1" x14ac:dyDescent="0.2">
      <c r="A968" s="259" t="s">
        <v>304</v>
      </c>
      <c r="B968" s="271">
        <v>801</v>
      </c>
      <c r="C968" s="252">
        <v>10</v>
      </c>
      <c r="D968" s="252" t="s">
        <v>200</v>
      </c>
      <c r="E968" s="252" t="s">
        <v>438</v>
      </c>
      <c r="F968" s="252"/>
      <c r="G968" s="256"/>
      <c r="H968" s="256"/>
      <c r="I968" s="257">
        <f>I969</f>
        <v>0</v>
      </c>
      <c r="J968" s="257">
        <f>J969</f>
        <v>0</v>
      </c>
      <c r="K968" s="257">
        <f>K969</f>
        <v>0</v>
      </c>
      <c r="L968" s="257">
        <f>L969</f>
        <v>0</v>
      </c>
      <c r="M968" s="257"/>
      <c r="N968" s="257">
        <f>N969</f>
        <v>0</v>
      </c>
    </row>
    <row r="969" spans="1:14" ht="21" hidden="1" customHeight="1" x14ac:dyDescent="0.2">
      <c r="A969" s="259" t="s">
        <v>304</v>
      </c>
      <c r="B969" s="271">
        <v>801</v>
      </c>
      <c r="C969" s="252">
        <v>10</v>
      </c>
      <c r="D969" s="252" t="s">
        <v>200</v>
      </c>
      <c r="E969" s="252" t="s">
        <v>438</v>
      </c>
      <c r="F969" s="252" t="s">
        <v>94</v>
      </c>
      <c r="G969" s="256"/>
      <c r="H969" s="256"/>
      <c r="I969" s="257">
        <v>0</v>
      </c>
      <c r="J969" s="257">
        <f>G969+I969</f>
        <v>0</v>
      </c>
      <c r="K969" s="257">
        <v>0</v>
      </c>
      <c r="L969" s="257">
        <f>H969+J969</f>
        <v>0</v>
      </c>
      <c r="M969" s="257"/>
      <c r="N969" s="257">
        <f>I969+K969</f>
        <v>0</v>
      </c>
    </row>
    <row r="970" spans="1:14" ht="28.5" hidden="1" customHeight="1" x14ac:dyDescent="0.2">
      <c r="A970" s="259" t="s">
        <v>304</v>
      </c>
      <c r="B970" s="271">
        <v>801</v>
      </c>
      <c r="C970" s="252">
        <v>10</v>
      </c>
      <c r="D970" s="252" t="s">
        <v>200</v>
      </c>
      <c r="E970" s="252" t="s">
        <v>439</v>
      </c>
      <c r="F970" s="252"/>
      <c r="G970" s="256"/>
      <c r="H970" s="256"/>
      <c r="I970" s="257">
        <f>I971</f>
        <v>0</v>
      </c>
      <c r="J970" s="257">
        <f>J971</f>
        <v>0</v>
      </c>
      <c r="K970" s="257">
        <f>K971</f>
        <v>0</v>
      </c>
      <c r="L970" s="257">
        <f>L971</f>
        <v>0</v>
      </c>
      <c r="M970" s="257"/>
      <c r="N970" s="257">
        <f>N971</f>
        <v>0</v>
      </c>
    </row>
    <row r="971" spans="1:14" ht="18" hidden="1" customHeight="1" x14ac:dyDescent="0.2">
      <c r="A971" s="259" t="s">
        <v>304</v>
      </c>
      <c r="B971" s="271">
        <v>801</v>
      </c>
      <c r="C971" s="252">
        <v>10</v>
      </c>
      <c r="D971" s="252" t="s">
        <v>200</v>
      </c>
      <c r="E971" s="252" t="s">
        <v>439</v>
      </c>
      <c r="F971" s="252" t="s">
        <v>94</v>
      </c>
      <c r="G971" s="256"/>
      <c r="H971" s="256"/>
      <c r="I971" s="257">
        <v>0</v>
      </c>
      <c r="J971" s="257">
        <f>G971+I971</f>
        <v>0</v>
      </c>
      <c r="K971" s="257">
        <v>0</v>
      </c>
      <c r="L971" s="257">
        <f>H971+J971</f>
        <v>0</v>
      </c>
      <c r="M971" s="257"/>
      <c r="N971" s="257">
        <f>I971+K971</f>
        <v>0</v>
      </c>
    </row>
    <row r="972" spans="1:14" ht="18" hidden="1" customHeight="1" x14ac:dyDescent="0.2">
      <c r="A972" s="259" t="s">
        <v>948</v>
      </c>
      <c r="B972" s="271">
        <v>801</v>
      </c>
      <c r="C972" s="252">
        <v>10</v>
      </c>
      <c r="D972" s="252" t="s">
        <v>194</v>
      </c>
      <c r="E972" s="252" t="s">
        <v>949</v>
      </c>
      <c r="F972" s="252"/>
      <c r="G972" s="256"/>
      <c r="H972" s="256"/>
      <c r="I972" s="257"/>
      <c r="J972" s="257"/>
      <c r="K972" s="257"/>
      <c r="L972" s="257">
        <f>L973</f>
        <v>0</v>
      </c>
      <c r="M972" s="257"/>
      <c r="N972" s="257">
        <f>N973</f>
        <v>0</v>
      </c>
    </row>
    <row r="973" spans="1:14" ht="18" hidden="1" customHeight="1" x14ac:dyDescent="0.2">
      <c r="A973" s="259" t="s">
        <v>304</v>
      </c>
      <c r="B973" s="271">
        <v>801</v>
      </c>
      <c r="C973" s="252">
        <v>10</v>
      </c>
      <c r="D973" s="252" t="s">
        <v>194</v>
      </c>
      <c r="E973" s="252" t="s">
        <v>949</v>
      </c>
      <c r="F973" s="252" t="s">
        <v>305</v>
      </c>
      <c r="G973" s="256"/>
      <c r="H973" s="257">
        <v>609.20000000000005</v>
      </c>
      <c r="I973" s="257">
        <v>1218.43</v>
      </c>
      <c r="J973" s="257">
        <v>0</v>
      </c>
      <c r="K973" s="257">
        <v>609.21</v>
      </c>
      <c r="L973" s="257">
        <v>0</v>
      </c>
      <c r="M973" s="257"/>
      <c r="N973" s="257">
        <v>0</v>
      </c>
    </row>
    <row r="974" spans="1:14" ht="18" hidden="1" customHeight="1" x14ac:dyDescent="0.2">
      <c r="A974" s="259" t="s">
        <v>304</v>
      </c>
      <c r="B974" s="271">
        <v>801</v>
      </c>
      <c r="C974" s="252">
        <v>10</v>
      </c>
      <c r="D974" s="252" t="s">
        <v>194</v>
      </c>
      <c r="E974" s="252" t="s">
        <v>867</v>
      </c>
      <c r="F974" s="252" t="s">
        <v>305</v>
      </c>
      <c r="G974" s="256"/>
      <c r="H974" s="257">
        <v>609.20000000000005</v>
      </c>
      <c r="I974" s="257">
        <v>1218.43</v>
      </c>
      <c r="J974" s="257">
        <v>0</v>
      </c>
      <c r="K974" s="257">
        <v>882</v>
      </c>
      <c r="L974" s="257">
        <v>0</v>
      </c>
      <c r="M974" s="257"/>
      <c r="N974" s="257">
        <v>0</v>
      </c>
    </row>
    <row r="975" spans="1:14" s="19" customFormat="1" ht="14.25" x14ac:dyDescent="0.2">
      <c r="A975" s="398" t="s">
        <v>127</v>
      </c>
      <c r="B975" s="249">
        <v>801</v>
      </c>
      <c r="C975" s="250" t="s">
        <v>205</v>
      </c>
      <c r="D975" s="250"/>
      <c r="E975" s="250"/>
      <c r="F975" s="250"/>
      <c r="G975" s="264"/>
      <c r="H975" s="264">
        <f t="shared" ref="H975:N975" si="543">H976</f>
        <v>2384</v>
      </c>
      <c r="I975" s="275">
        <f t="shared" si="543"/>
        <v>352.27</v>
      </c>
      <c r="J975" s="275">
        <f t="shared" si="543"/>
        <v>2736.27</v>
      </c>
      <c r="K975" s="275">
        <f t="shared" si="543"/>
        <v>220</v>
      </c>
      <c r="L975" s="275">
        <f t="shared" si="543"/>
        <v>3390</v>
      </c>
      <c r="M975" s="275">
        <f t="shared" si="543"/>
        <v>-560</v>
      </c>
      <c r="N975" s="275">
        <f t="shared" si="543"/>
        <v>2830</v>
      </c>
    </row>
    <row r="976" spans="1:14" ht="15" customHeight="1" x14ac:dyDescent="0.2">
      <c r="A976" s="398" t="s">
        <v>283</v>
      </c>
      <c r="B976" s="249">
        <v>801</v>
      </c>
      <c r="C976" s="250" t="s">
        <v>205</v>
      </c>
      <c r="D976" s="250" t="s">
        <v>192</v>
      </c>
      <c r="E976" s="250"/>
      <c r="F976" s="250"/>
      <c r="G976" s="257" t="e">
        <f>#REF!+G1139</f>
        <v>#REF!</v>
      </c>
      <c r="H976" s="257">
        <f t="shared" ref="H976:L976" si="544">H1139+H1140</f>
        <v>2384</v>
      </c>
      <c r="I976" s="257">
        <f t="shared" si="544"/>
        <v>352.27</v>
      </c>
      <c r="J976" s="257">
        <f t="shared" si="544"/>
        <v>2736.27</v>
      </c>
      <c r="K976" s="257">
        <f t="shared" si="544"/>
        <v>220</v>
      </c>
      <c r="L976" s="257">
        <f t="shared" si="544"/>
        <v>3390</v>
      </c>
      <c r="M976" s="257">
        <f t="shared" ref="M976:N976" si="545">M1139+M1140</f>
        <v>-560</v>
      </c>
      <c r="N976" s="257">
        <f t="shared" si="545"/>
        <v>2830</v>
      </c>
    </row>
    <row r="977" spans="1:14" ht="30" hidden="1" x14ac:dyDescent="0.2">
      <c r="A977" s="259" t="s">
        <v>128</v>
      </c>
      <c r="B977" s="271">
        <v>801</v>
      </c>
      <c r="C977" s="252" t="s">
        <v>205</v>
      </c>
      <c r="D977" s="252" t="s">
        <v>192</v>
      </c>
      <c r="E977" s="252" t="s">
        <v>129</v>
      </c>
      <c r="F977" s="252"/>
      <c r="G977" s="256"/>
      <c r="H977" s="256"/>
      <c r="I977" s="257" t="e">
        <f>I978</f>
        <v>#REF!</v>
      </c>
      <c r="J977" s="257" t="e">
        <f t="shared" ref="J977:J1040" si="546">H977+I977</f>
        <v>#REF!</v>
      </c>
      <c r="K977" s="257" t="e">
        <f>K978</f>
        <v>#REF!</v>
      </c>
      <c r="L977" s="257" t="e">
        <f t="shared" ref="L977:L1040" si="547">I977+J977</f>
        <v>#REF!</v>
      </c>
      <c r="M977" s="257"/>
      <c r="N977" s="257" t="e">
        <f t="shared" ref="N977:N1008" si="548">J977+K977</f>
        <v>#REF!</v>
      </c>
    </row>
    <row r="978" spans="1:14" ht="15" hidden="1" x14ac:dyDescent="0.2">
      <c r="A978" s="259" t="s">
        <v>299</v>
      </c>
      <c r="B978" s="271">
        <v>801</v>
      </c>
      <c r="C978" s="252" t="s">
        <v>205</v>
      </c>
      <c r="D978" s="252" t="s">
        <v>192</v>
      </c>
      <c r="E978" s="252" t="s">
        <v>5</v>
      </c>
      <c r="F978" s="252"/>
      <c r="G978" s="256"/>
      <c r="H978" s="256"/>
      <c r="I978" s="257" t="e">
        <f>I979+I1125+I1126+I1127+I1128+I1129+I1132+I1133+I1130+I1131</f>
        <v>#REF!</v>
      </c>
      <c r="J978" s="257" t="e">
        <f t="shared" si="546"/>
        <v>#REF!</v>
      </c>
      <c r="K978" s="257" t="e">
        <f>K979+K1125+K1126+K1127+K1128+K1129+K1132+K1133+K1130+K1131</f>
        <v>#REF!</v>
      </c>
      <c r="L978" s="257" t="e">
        <f t="shared" si="547"/>
        <v>#REF!</v>
      </c>
      <c r="M978" s="257"/>
      <c r="N978" s="257" t="e">
        <f t="shared" si="548"/>
        <v>#REF!</v>
      </c>
    </row>
    <row r="979" spans="1:14" ht="12.75" hidden="1" customHeight="1" x14ac:dyDescent="0.2">
      <c r="A979" s="259" t="s">
        <v>300</v>
      </c>
      <c r="B979" s="271">
        <v>801</v>
      </c>
      <c r="C979" s="252" t="s">
        <v>205</v>
      </c>
      <c r="D979" s="252" t="s">
        <v>192</v>
      </c>
      <c r="E979" s="252" t="s">
        <v>5</v>
      </c>
      <c r="F979" s="252" t="s">
        <v>301</v>
      </c>
      <c r="G979" s="256"/>
      <c r="H979" s="256"/>
      <c r="I979" s="257" t="e">
        <f>#REF!+G979</f>
        <v>#REF!</v>
      </c>
      <c r="J979" s="257" t="e">
        <f t="shared" si="546"/>
        <v>#REF!</v>
      </c>
      <c r="K979" s="257" t="e">
        <f t="shared" ref="K979:L1042" si="549">H979+I979</f>
        <v>#REF!</v>
      </c>
      <c r="L979" s="257" t="e">
        <f t="shared" si="547"/>
        <v>#REF!</v>
      </c>
      <c r="M979" s="257"/>
      <c r="N979" s="257" t="e">
        <f t="shared" si="548"/>
        <v>#REF!</v>
      </c>
    </row>
    <row r="980" spans="1:14" ht="12.75" hidden="1" customHeight="1" x14ac:dyDescent="0.2">
      <c r="A980" s="525" t="s">
        <v>6</v>
      </c>
      <c r="B980" s="526"/>
      <c r="C980" s="526"/>
      <c r="D980" s="526"/>
      <c r="E980" s="526"/>
      <c r="F980" s="526"/>
      <c r="G980" s="256"/>
      <c r="H980" s="256"/>
      <c r="I980" s="257" t="e">
        <f>#REF!+G980</f>
        <v>#REF!</v>
      </c>
      <c r="J980" s="257" t="e">
        <f t="shared" si="546"/>
        <v>#REF!</v>
      </c>
      <c r="K980" s="257" t="e">
        <f t="shared" si="549"/>
        <v>#REF!</v>
      </c>
      <c r="L980" s="257" t="e">
        <f t="shared" si="547"/>
        <v>#REF!</v>
      </c>
      <c r="M980" s="257"/>
      <c r="N980" s="257" t="e">
        <f t="shared" si="548"/>
        <v>#REF!</v>
      </c>
    </row>
    <row r="981" spans="1:14" ht="12.75" hidden="1" customHeight="1" x14ac:dyDescent="0.2">
      <c r="A981" s="398" t="s">
        <v>72</v>
      </c>
      <c r="B981" s="249">
        <v>803</v>
      </c>
      <c r="C981" s="249" t="s">
        <v>312</v>
      </c>
      <c r="D981" s="249"/>
      <c r="E981" s="249"/>
      <c r="F981" s="260"/>
      <c r="G981" s="256"/>
      <c r="H981" s="256"/>
      <c r="I981" s="257" t="e">
        <f>#REF!+G981</f>
        <v>#REF!</v>
      </c>
      <c r="J981" s="257" t="e">
        <f t="shared" si="546"/>
        <v>#REF!</v>
      </c>
      <c r="K981" s="257" t="e">
        <f t="shared" si="549"/>
        <v>#REF!</v>
      </c>
      <c r="L981" s="257" t="e">
        <f t="shared" si="547"/>
        <v>#REF!</v>
      </c>
      <c r="M981" s="257"/>
      <c r="N981" s="257" t="e">
        <f t="shared" si="548"/>
        <v>#REF!</v>
      </c>
    </row>
    <row r="982" spans="1:14" ht="25.5" hidden="1" customHeight="1" x14ac:dyDescent="0.2">
      <c r="A982" s="398" t="s">
        <v>368</v>
      </c>
      <c r="B982" s="249">
        <v>803</v>
      </c>
      <c r="C982" s="249" t="s">
        <v>312</v>
      </c>
      <c r="D982" s="249">
        <v>12</v>
      </c>
      <c r="E982" s="249"/>
      <c r="F982" s="249"/>
      <c r="G982" s="256"/>
      <c r="H982" s="256"/>
      <c r="I982" s="257" t="e">
        <f>#REF!+G982</f>
        <v>#REF!</v>
      </c>
      <c r="J982" s="257" t="e">
        <f t="shared" si="546"/>
        <v>#REF!</v>
      </c>
      <c r="K982" s="257" t="e">
        <f t="shared" si="549"/>
        <v>#REF!</v>
      </c>
      <c r="L982" s="257" t="e">
        <f t="shared" si="547"/>
        <v>#REF!</v>
      </c>
      <c r="M982" s="257"/>
      <c r="N982" s="257" t="e">
        <f t="shared" si="548"/>
        <v>#REF!</v>
      </c>
    </row>
    <row r="983" spans="1:14" ht="12.75" hidden="1" customHeight="1" x14ac:dyDescent="0.2">
      <c r="A983" s="259" t="s">
        <v>7</v>
      </c>
      <c r="B983" s="271">
        <v>803</v>
      </c>
      <c r="C983" s="271" t="s">
        <v>312</v>
      </c>
      <c r="D983" s="271">
        <v>12</v>
      </c>
      <c r="E983" s="271" t="s">
        <v>8</v>
      </c>
      <c r="F983" s="271"/>
      <c r="G983" s="256"/>
      <c r="H983" s="256"/>
      <c r="I983" s="257" t="e">
        <f>#REF!+G983</f>
        <v>#REF!</v>
      </c>
      <c r="J983" s="257" t="e">
        <f t="shared" si="546"/>
        <v>#REF!</v>
      </c>
      <c r="K983" s="257" t="e">
        <f t="shared" si="549"/>
        <v>#REF!</v>
      </c>
      <c r="L983" s="257" t="e">
        <f t="shared" si="547"/>
        <v>#REF!</v>
      </c>
      <c r="M983" s="257"/>
      <c r="N983" s="257" t="e">
        <f t="shared" si="548"/>
        <v>#REF!</v>
      </c>
    </row>
    <row r="984" spans="1:14" ht="12.75" hidden="1" customHeight="1" x14ac:dyDescent="0.2">
      <c r="A984" s="259" t="s">
        <v>299</v>
      </c>
      <c r="B984" s="271">
        <v>803</v>
      </c>
      <c r="C984" s="271" t="s">
        <v>312</v>
      </c>
      <c r="D984" s="271">
        <v>12</v>
      </c>
      <c r="E984" s="271" t="s">
        <v>9</v>
      </c>
      <c r="F984" s="271"/>
      <c r="G984" s="256"/>
      <c r="H984" s="256"/>
      <c r="I984" s="257" t="e">
        <f>#REF!+G984</f>
        <v>#REF!</v>
      </c>
      <c r="J984" s="257" t="e">
        <f t="shared" si="546"/>
        <v>#REF!</v>
      </c>
      <c r="K984" s="257" t="e">
        <f t="shared" si="549"/>
        <v>#REF!</v>
      </c>
      <c r="L984" s="257" t="e">
        <f t="shared" si="547"/>
        <v>#REF!</v>
      </c>
      <c r="M984" s="257"/>
      <c r="N984" s="257" t="e">
        <f t="shared" si="548"/>
        <v>#REF!</v>
      </c>
    </row>
    <row r="985" spans="1:14" ht="12.75" hidden="1" customHeight="1" x14ac:dyDescent="0.2">
      <c r="A985" s="259" t="s">
        <v>300</v>
      </c>
      <c r="B985" s="271">
        <v>803</v>
      </c>
      <c r="C985" s="271" t="s">
        <v>312</v>
      </c>
      <c r="D985" s="271">
        <v>12</v>
      </c>
      <c r="E985" s="271" t="s">
        <v>9</v>
      </c>
      <c r="F985" s="252" t="s">
        <v>301</v>
      </c>
      <c r="G985" s="256"/>
      <c r="H985" s="256"/>
      <c r="I985" s="257" t="e">
        <f>#REF!+G985</f>
        <v>#REF!</v>
      </c>
      <c r="J985" s="257" t="e">
        <f t="shared" si="546"/>
        <v>#REF!</v>
      </c>
      <c r="K985" s="257" t="e">
        <f t="shared" si="549"/>
        <v>#REF!</v>
      </c>
      <c r="L985" s="257" t="e">
        <f t="shared" si="547"/>
        <v>#REF!</v>
      </c>
      <c r="M985" s="257"/>
      <c r="N985" s="257" t="e">
        <f t="shared" si="548"/>
        <v>#REF!</v>
      </c>
    </row>
    <row r="986" spans="1:14" ht="25.5" hidden="1" customHeight="1" x14ac:dyDescent="0.2">
      <c r="A986" s="259" t="s">
        <v>147</v>
      </c>
      <c r="B986" s="271">
        <v>803</v>
      </c>
      <c r="C986" s="252" t="s">
        <v>190</v>
      </c>
      <c r="D986" s="271">
        <v>12</v>
      </c>
      <c r="E986" s="271" t="s">
        <v>10</v>
      </c>
      <c r="F986" s="252"/>
      <c r="G986" s="256"/>
      <c r="H986" s="256"/>
      <c r="I986" s="257" t="e">
        <f>#REF!+G986</f>
        <v>#REF!</v>
      </c>
      <c r="J986" s="257" t="e">
        <f t="shared" si="546"/>
        <v>#REF!</v>
      </c>
      <c r="K986" s="257" t="e">
        <f t="shared" si="549"/>
        <v>#REF!</v>
      </c>
      <c r="L986" s="257" t="e">
        <f t="shared" si="547"/>
        <v>#REF!</v>
      </c>
      <c r="M986" s="257"/>
      <c r="N986" s="257" t="e">
        <f t="shared" si="548"/>
        <v>#REF!</v>
      </c>
    </row>
    <row r="987" spans="1:14" ht="12.75" hidden="1" customHeight="1" x14ac:dyDescent="0.2">
      <c r="A987" s="259" t="s">
        <v>300</v>
      </c>
      <c r="B987" s="271">
        <v>803</v>
      </c>
      <c r="C987" s="252" t="s">
        <v>190</v>
      </c>
      <c r="D987" s="271">
        <v>12</v>
      </c>
      <c r="E987" s="271" t="s">
        <v>10</v>
      </c>
      <c r="F987" s="252" t="s">
        <v>301</v>
      </c>
      <c r="G987" s="256"/>
      <c r="H987" s="256"/>
      <c r="I987" s="257" t="e">
        <f>#REF!+G987</f>
        <v>#REF!</v>
      </c>
      <c r="J987" s="257" t="e">
        <f t="shared" si="546"/>
        <v>#REF!</v>
      </c>
      <c r="K987" s="257" t="e">
        <f t="shared" si="549"/>
        <v>#REF!</v>
      </c>
      <c r="L987" s="257" t="e">
        <f t="shared" si="547"/>
        <v>#REF!</v>
      </c>
      <c r="M987" s="257"/>
      <c r="N987" s="257" t="e">
        <f t="shared" si="548"/>
        <v>#REF!</v>
      </c>
    </row>
    <row r="988" spans="1:14" ht="12.75" hidden="1" customHeight="1" x14ac:dyDescent="0.2">
      <c r="A988" s="398" t="s">
        <v>306</v>
      </c>
      <c r="B988" s="249">
        <v>803</v>
      </c>
      <c r="C988" s="250" t="s">
        <v>196</v>
      </c>
      <c r="D988" s="250"/>
      <c r="E988" s="250"/>
      <c r="F988" s="250"/>
      <c r="G988" s="256"/>
      <c r="H988" s="256"/>
      <c r="I988" s="257" t="e">
        <f>#REF!+G988</f>
        <v>#REF!</v>
      </c>
      <c r="J988" s="257" t="e">
        <f t="shared" si="546"/>
        <v>#REF!</v>
      </c>
      <c r="K988" s="257" t="e">
        <f t="shared" si="549"/>
        <v>#REF!</v>
      </c>
      <c r="L988" s="257" t="e">
        <f t="shared" si="547"/>
        <v>#REF!</v>
      </c>
      <c r="M988" s="257"/>
      <c r="N988" s="257" t="e">
        <f t="shared" si="548"/>
        <v>#REF!</v>
      </c>
    </row>
    <row r="989" spans="1:14" ht="12.75" hidden="1" customHeight="1" x14ac:dyDescent="0.2">
      <c r="A989" s="398" t="s">
        <v>218</v>
      </c>
      <c r="B989" s="249">
        <v>803</v>
      </c>
      <c r="C989" s="250" t="s">
        <v>196</v>
      </c>
      <c r="D989" s="250" t="s">
        <v>200</v>
      </c>
      <c r="E989" s="250"/>
      <c r="F989" s="250"/>
      <c r="G989" s="256"/>
      <c r="H989" s="256"/>
      <c r="I989" s="257" t="e">
        <f>#REF!+G989</f>
        <v>#REF!</v>
      </c>
      <c r="J989" s="257" t="e">
        <f t="shared" si="546"/>
        <v>#REF!</v>
      </c>
      <c r="K989" s="257" t="e">
        <f t="shared" si="549"/>
        <v>#REF!</v>
      </c>
      <c r="L989" s="257" t="e">
        <f t="shared" si="547"/>
        <v>#REF!</v>
      </c>
      <c r="M989" s="257"/>
      <c r="N989" s="257" t="e">
        <f t="shared" si="548"/>
        <v>#REF!</v>
      </c>
    </row>
    <row r="990" spans="1:14" ht="12.75" hidden="1" customHeight="1" x14ac:dyDescent="0.2">
      <c r="A990" s="259" t="s">
        <v>11</v>
      </c>
      <c r="B990" s="271">
        <v>803</v>
      </c>
      <c r="C990" s="252" t="s">
        <v>196</v>
      </c>
      <c r="D990" s="252" t="s">
        <v>200</v>
      </c>
      <c r="E990" s="252" t="s">
        <v>12</v>
      </c>
      <c r="F990" s="250"/>
      <c r="G990" s="256"/>
      <c r="H990" s="256"/>
      <c r="I990" s="257" t="e">
        <f>#REF!+G990</f>
        <v>#REF!</v>
      </c>
      <c r="J990" s="257" t="e">
        <f t="shared" si="546"/>
        <v>#REF!</v>
      </c>
      <c r="K990" s="257" t="e">
        <f t="shared" si="549"/>
        <v>#REF!</v>
      </c>
      <c r="L990" s="257" t="e">
        <f t="shared" si="547"/>
        <v>#REF!</v>
      </c>
      <c r="M990" s="257"/>
      <c r="N990" s="257" t="e">
        <f t="shared" si="548"/>
        <v>#REF!</v>
      </c>
    </row>
    <row r="991" spans="1:14" ht="51" hidden="1" customHeight="1" x14ac:dyDescent="0.2">
      <c r="A991" s="259" t="s">
        <v>13</v>
      </c>
      <c r="B991" s="271">
        <v>803</v>
      </c>
      <c r="C991" s="252" t="s">
        <v>196</v>
      </c>
      <c r="D991" s="252" t="s">
        <v>200</v>
      </c>
      <c r="E991" s="252" t="s">
        <v>14</v>
      </c>
      <c r="F991" s="252"/>
      <c r="G991" s="256"/>
      <c r="H991" s="256"/>
      <c r="I991" s="257" t="e">
        <f>#REF!+G991</f>
        <v>#REF!</v>
      </c>
      <c r="J991" s="257" t="e">
        <f t="shared" si="546"/>
        <v>#REF!</v>
      </c>
      <c r="K991" s="257" t="e">
        <f t="shared" si="549"/>
        <v>#REF!</v>
      </c>
      <c r="L991" s="257" t="e">
        <f t="shared" si="547"/>
        <v>#REF!</v>
      </c>
      <c r="M991" s="257"/>
      <c r="N991" s="257" t="e">
        <f t="shared" si="548"/>
        <v>#REF!</v>
      </c>
    </row>
    <row r="992" spans="1:14" ht="12.75" hidden="1" customHeight="1" x14ac:dyDescent="0.2">
      <c r="A992" s="259" t="s">
        <v>153</v>
      </c>
      <c r="B992" s="271">
        <v>803</v>
      </c>
      <c r="C992" s="252" t="s">
        <v>196</v>
      </c>
      <c r="D992" s="252" t="s">
        <v>200</v>
      </c>
      <c r="E992" s="252" t="s">
        <v>14</v>
      </c>
      <c r="F992" s="252" t="s">
        <v>154</v>
      </c>
      <c r="G992" s="256"/>
      <c r="H992" s="256"/>
      <c r="I992" s="257" t="e">
        <f>#REF!+G992</f>
        <v>#REF!</v>
      </c>
      <c r="J992" s="257" t="e">
        <f t="shared" si="546"/>
        <v>#REF!</v>
      </c>
      <c r="K992" s="257" t="e">
        <f t="shared" si="549"/>
        <v>#REF!</v>
      </c>
      <c r="L992" s="257" t="e">
        <f t="shared" si="547"/>
        <v>#REF!</v>
      </c>
      <c r="M992" s="257"/>
      <c r="N992" s="257" t="e">
        <f t="shared" si="548"/>
        <v>#REF!</v>
      </c>
    </row>
    <row r="993" spans="1:14" ht="51" hidden="1" customHeight="1" x14ac:dyDescent="0.2">
      <c r="A993" s="259" t="s">
        <v>15</v>
      </c>
      <c r="B993" s="271">
        <v>803</v>
      </c>
      <c r="C993" s="252" t="s">
        <v>196</v>
      </c>
      <c r="D993" s="252" t="s">
        <v>200</v>
      </c>
      <c r="E993" s="252" t="s">
        <v>16</v>
      </c>
      <c r="F993" s="252"/>
      <c r="G993" s="256"/>
      <c r="H993" s="256"/>
      <c r="I993" s="257" t="e">
        <f>#REF!+G993</f>
        <v>#REF!</v>
      </c>
      <c r="J993" s="257" t="e">
        <f t="shared" si="546"/>
        <v>#REF!</v>
      </c>
      <c r="K993" s="257" t="e">
        <f t="shared" si="549"/>
        <v>#REF!</v>
      </c>
      <c r="L993" s="257" t="e">
        <f t="shared" si="547"/>
        <v>#REF!</v>
      </c>
      <c r="M993" s="257"/>
      <c r="N993" s="257" t="e">
        <f t="shared" si="548"/>
        <v>#REF!</v>
      </c>
    </row>
    <row r="994" spans="1:14" ht="12.75" hidden="1" customHeight="1" x14ac:dyDescent="0.2">
      <c r="A994" s="259" t="s">
        <v>153</v>
      </c>
      <c r="B994" s="271">
        <v>803</v>
      </c>
      <c r="C994" s="252" t="s">
        <v>196</v>
      </c>
      <c r="D994" s="252" t="s">
        <v>200</v>
      </c>
      <c r="E994" s="252" t="s">
        <v>16</v>
      </c>
      <c r="F994" s="252" t="s">
        <v>154</v>
      </c>
      <c r="G994" s="256"/>
      <c r="H994" s="256"/>
      <c r="I994" s="257" t="e">
        <f>#REF!+G994</f>
        <v>#REF!</v>
      </c>
      <c r="J994" s="257" t="e">
        <f t="shared" si="546"/>
        <v>#REF!</v>
      </c>
      <c r="K994" s="257" t="e">
        <f t="shared" si="549"/>
        <v>#REF!</v>
      </c>
      <c r="L994" s="257" t="e">
        <f t="shared" si="547"/>
        <v>#REF!</v>
      </c>
      <c r="M994" s="257"/>
      <c r="N994" s="257" t="e">
        <f t="shared" si="548"/>
        <v>#REF!</v>
      </c>
    </row>
    <row r="995" spans="1:14" ht="12.75" hidden="1" customHeight="1" x14ac:dyDescent="0.2">
      <c r="A995" s="259" t="s">
        <v>17</v>
      </c>
      <c r="B995" s="271">
        <v>803</v>
      </c>
      <c r="C995" s="252" t="s">
        <v>196</v>
      </c>
      <c r="D995" s="252" t="s">
        <v>200</v>
      </c>
      <c r="E995" s="252" t="s">
        <v>18</v>
      </c>
      <c r="F995" s="252"/>
      <c r="G995" s="256"/>
      <c r="H995" s="256"/>
      <c r="I995" s="257" t="e">
        <f>#REF!+G995</f>
        <v>#REF!</v>
      </c>
      <c r="J995" s="257" t="e">
        <f t="shared" si="546"/>
        <v>#REF!</v>
      </c>
      <c r="K995" s="257" t="e">
        <f t="shared" si="549"/>
        <v>#REF!</v>
      </c>
      <c r="L995" s="257" t="e">
        <f t="shared" si="547"/>
        <v>#REF!</v>
      </c>
      <c r="M995" s="257"/>
      <c r="N995" s="257" t="e">
        <f t="shared" si="548"/>
        <v>#REF!</v>
      </c>
    </row>
    <row r="996" spans="1:14" ht="12.75" hidden="1" customHeight="1" x14ac:dyDescent="0.2">
      <c r="A996" s="259" t="s">
        <v>320</v>
      </c>
      <c r="B996" s="271">
        <v>803</v>
      </c>
      <c r="C996" s="252" t="s">
        <v>196</v>
      </c>
      <c r="D996" s="252" t="s">
        <v>200</v>
      </c>
      <c r="E996" s="252" t="s">
        <v>18</v>
      </c>
      <c r="F996" s="252" t="s">
        <v>321</v>
      </c>
      <c r="G996" s="256"/>
      <c r="H996" s="256"/>
      <c r="I996" s="257" t="e">
        <f>#REF!+G996</f>
        <v>#REF!</v>
      </c>
      <c r="J996" s="257" t="e">
        <f t="shared" si="546"/>
        <v>#REF!</v>
      </c>
      <c r="K996" s="257" t="e">
        <f t="shared" si="549"/>
        <v>#REF!</v>
      </c>
      <c r="L996" s="257" t="e">
        <f t="shared" si="547"/>
        <v>#REF!</v>
      </c>
      <c r="M996" s="257"/>
      <c r="N996" s="257" t="e">
        <f t="shared" si="548"/>
        <v>#REF!</v>
      </c>
    </row>
    <row r="997" spans="1:14" ht="12.75" hidden="1" customHeight="1" x14ac:dyDescent="0.2">
      <c r="A997" s="398" t="s">
        <v>19</v>
      </c>
      <c r="B997" s="249">
        <v>803</v>
      </c>
      <c r="C997" s="250" t="s">
        <v>196</v>
      </c>
      <c r="D997" s="250" t="s">
        <v>202</v>
      </c>
      <c r="E997" s="250"/>
      <c r="F997" s="250"/>
      <c r="G997" s="256"/>
      <c r="H997" s="256"/>
      <c r="I997" s="257" t="e">
        <f>#REF!+G997</f>
        <v>#REF!</v>
      </c>
      <c r="J997" s="257" t="e">
        <f t="shared" si="546"/>
        <v>#REF!</v>
      </c>
      <c r="K997" s="257" t="e">
        <f t="shared" si="549"/>
        <v>#REF!</v>
      </c>
      <c r="L997" s="257" t="e">
        <f t="shared" si="547"/>
        <v>#REF!</v>
      </c>
      <c r="M997" s="257"/>
      <c r="N997" s="257" t="e">
        <f t="shared" si="548"/>
        <v>#REF!</v>
      </c>
    </row>
    <row r="998" spans="1:14" ht="12.75" hidden="1" customHeight="1" x14ac:dyDescent="0.2">
      <c r="A998" s="259" t="s">
        <v>20</v>
      </c>
      <c r="B998" s="271">
        <v>803</v>
      </c>
      <c r="C998" s="252" t="s">
        <v>196</v>
      </c>
      <c r="D998" s="252" t="s">
        <v>202</v>
      </c>
      <c r="E998" s="252" t="s">
        <v>21</v>
      </c>
      <c r="F998" s="252"/>
      <c r="G998" s="256"/>
      <c r="H998" s="256"/>
      <c r="I998" s="257" t="e">
        <f>#REF!+G998</f>
        <v>#REF!</v>
      </c>
      <c r="J998" s="257" t="e">
        <f t="shared" si="546"/>
        <v>#REF!</v>
      </c>
      <c r="K998" s="257" t="e">
        <f t="shared" si="549"/>
        <v>#REF!</v>
      </c>
      <c r="L998" s="257" t="e">
        <f t="shared" si="547"/>
        <v>#REF!</v>
      </c>
      <c r="M998" s="257"/>
      <c r="N998" s="257" t="e">
        <f t="shared" si="548"/>
        <v>#REF!</v>
      </c>
    </row>
    <row r="999" spans="1:14" ht="12.75" hidden="1" customHeight="1" x14ac:dyDescent="0.2">
      <c r="A999" s="259" t="s">
        <v>22</v>
      </c>
      <c r="B999" s="271">
        <v>803</v>
      </c>
      <c r="C999" s="252" t="s">
        <v>196</v>
      </c>
      <c r="D999" s="252" t="s">
        <v>202</v>
      </c>
      <c r="E999" s="252" t="s">
        <v>23</v>
      </c>
      <c r="F999" s="252"/>
      <c r="G999" s="256"/>
      <c r="H999" s="256"/>
      <c r="I999" s="257" t="e">
        <f>#REF!+G999</f>
        <v>#REF!</v>
      </c>
      <c r="J999" s="257" t="e">
        <f t="shared" si="546"/>
        <v>#REF!</v>
      </c>
      <c r="K999" s="257" t="e">
        <f t="shared" si="549"/>
        <v>#REF!</v>
      </c>
      <c r="L999" s="257" t="e">
        <f t="shared" si="547"/>
        <v>#REF!</v>
      </c>
      <c r="M999" s="257"/>
      <c r="N999" s="257" t="e">
        <f t="shared" si="548"/>
        <v>#REF!</v>
      </c>
    </row>
    <row r="1000" spans="1:14" ht="12.75" hidden="1" customHeight="1" x14ac:dyDescent="0.2">
      <c r="A1000" s="259" t="s">
        <v>24</v>
      </c>
      <c r="B1000" s="271">
        <v>803</v>
      </c>
      <c r="C1000" s="252" t="s">
        <v>196</v>
      </c>
      <c r="D1000" s="252" t="s">
        <v>202</v>
      </c>
      <c r="E1000" s="252" t="s">
        <v>23</v>
      </c>
      <c r="F1000" s="252" t="s">
        <v>301</v>
      </c>
      <c r="G1000" s="256"/>
      <c r="H1000" s="256"/>
      <c r="I1000" s="257" t="e">
        <f>#REF!+G1000</f>
        <v>#REF!</v>
      </c>
      <c r="J1000" s="257" t="e">
        <f t="shared" si="546"/>
        <v>#REF!</v>
      </c>
      <c r="K1000" s="257" t="e">
        <f t="shared" si="549"/>
        <v>#REF!</v>
      </c>
      <c r="L1000" s="257" t="e">
        <f t="shared" si="547"/>
        <v>#REF!</v>
      </c>
      <c r="M1000" s="257"/>
      <c r="N1000" s="257" t="e">
        <f t="shared" si="548"/>
        <v>#REF!</v>
      </c>
    </row>
    <row r="1001" spans="1:14" ht="12.75" hidden="1" customHeight="1" x14ac:dyDescent="0.2">
      <c r="A1001" s="259" t="s">
        <v>320</v>
      </c>
      <c r="B1001" s="271">
        <v>803</v>
      </c>
      <c r="C1001" s="252" t="s">
        <v>196</v>
      </c>
      <c r="D1001" s="252" t="s">
        <v>202</v>
      </c>
      <c r="E1001" s="252" t="s">
        <v>23</v>
      </c>
      <c r="F1001" s="252" t="s">
        <v>321</v>
      </c>
      <c r="G1001" s="256"/>
      <c r="H1001" s="256"/>
      <c r="I1001" s="257" t="e">
        <f>#REF!+G1001</f>
        <v>#REF!</v>
      </c>
      <c r="J1001" s="257" t="e">
        <f t="shared" si="546"/>
        <v>#REF!</v>
      </c>
      <c r="K1001" s="257" t="e">
        <f t="shared" si="549"/>
        <v>#REF!</v>
      </c>
      <c r="L1001" s="257" t="e">
        <f t="shared" si="547"/>
        <v>#REF!</v>
      </c>
      <c r="M1001" s="257"/>
      <c r="N1001" s="257" t="e">
        <f t="shared" si="548"/>
        <v>#REF!</v>
      </c>
    </row>
    <row r="1002" spans="1:14" ht="12.75" hidden="1" customHeight="1" x14ac:dyDescent="0.2">
      <c r="A1002" s="259" t="s">
        <v>149</v>
      </c>
      <c r="B1002" s="271">
        <v>803</v>
      </c>
      <c r="C1002" s="252" t="s">
        <v>196</v>
      </c>
      <c r="D1002" s="252" t="s">
        <v>202</v>
      </c>
      <c r="E1002" s="252" t="s">
        <v>23</v>
      </c>
      <c r="F1002" s="252" t="s">
        <v>150</v>
      </c>
      <c r="G1002" s="256"/>
      <c r="H1002" s="256"/>
      <c r="I1002" s="257" t="e">
        <f>#REF!+G1002</f>
        <v>#REF!</v>
      </c>
      <c r="J1002" s="257" t="e">
        <f t="shared" si="546"/>
        <v>#REF!</v>
      </c>
      <c r="K1002" s="257" t="e">
        <f t="shared" si="549"/>
        <v>#REF!</v>
      </c>
      <c r="L1002" s="257" t="e">
        <f t="shared" si="547"/>
        <v>#REF!</v>
      </c>
      <c r="M1002" s="257"/>
      <c r="N1002" s="257" t="e">
        <f t="shared" si="548"/>
        <v>#REF!</v>
      </c>
    </row>
    <row r="1003" spans="1:14" ht="12.75" hidden="1" customHeight="1" x14ac:dyDescent="0.2">
      <c r="A1003" s="398" t="s">
        <v>25</v>
      </c>
      <c r="B1003" s="249">
        <v>803</v>
      </c>
      <c r="C1003" s="250" t="s">
        <v>200</v>
      </c>
      <c r="D1003" s="250"/>
      <c r="E1003" s="250"/>
      <c r="F1003" s="250"/>
      <c r="G1003" s="256"/>
      <c r="H1003" s="256"/>
      <c r="I1003" s="257" t="e">
        <f>#REF!+G1003</f>
        <v>#REF!</v>
      </c>
      <c r="J1003" s="257" t="e">
        <f t="shared" si="546"/>
        <v>#REF!</v>
      </c>
      <c r="K1003" s="257" t="e">
        <f t="shared" si="549"/>
        <v>#REF!</v>
      </c>
      <c r="L1003" s="257" t="e">
        <f t="shared" si="547"/>
        <v>#REF!</v>
      </c>
      <c r="M1003" s="257"/>
      <c r="N1003" s="257" t="e">
        <f t="shared" si="548"/>
        <v>#REF!</v>
      </c>
    </row>
    <row r="1004" spans="1:14" ht="25.5" hidden="1" customHeight="1" x14ac:dyDescent="0.2">
      <c r="A1004" s="398" t="s">
        <v>26</v>
      </c>
      <c r="B1004" s="249">
        <v>803</v>
      </c>
      <c r="C1004" s="250" t="s">
        <v>200</v>
      </c>
      <c r="D1004" s="250" t="s">
        <v>194</v>
      </c>
      <c r="E1004" s="252"/>
      <c r="F1004" s="252"/>
      <c r="G1004" s="256"/>
      <c r="H1004" s="256"/>
      <c r="I1004" s="257" t="e">
        <f>#REF!+G1004</f>
        <v>#REF!</v>
      </c>
      <c r="J1004" s="257" t="e">
        <f t="shared" si="546"/>
        <v>#REF!</v>
      </c>
      <c r="K1004" s="257" t="e">
        <f t="shared" si="549"/>
        <v>#REF!</v>
      </c>
      <c r="L1004" s="257" t="e">
        <f t="shared" si="547"/>
        <v>#REF!</v>
      </c>
      <c r="M1004" s="257"/>
      <c r="N1004" s="257" t="e">
        <f t="shared" si="548"/>
        <v>#REF!</v>
      </c>
    </row>
    <row r="1005" spans="1:14" ht="12.75" hidden="1" customHeight="1" x14ac:dyDescent="0.2">
      <c r="A1005" s="259" t="s">
        <v>27</v>
      </c>
      <c r="B1005" s="271">
        <v>803</v>
      </c>
      <c r="C1005" s="252" t="s">
        <v>200</v>
      </c>
      <c r="D1005" s="252" t="s">
        <v>194</v>
      </c>
      <c r="E1005" s="252" t="s">
        <v>28</v>
      </c>
      <c r="F1005" s="252"/>
      <c r="G1005" s="256"/>
      <c r="H1005" s="256"/>
      <c r="I1005" s="257" t="e">
        <f>#REF!+G1005</f>
        <v>#REF!</v>
      </c>
      <c r="J1005" s="257" t="e">
        <f t="shared" si="546"/>
        <v>#REF!</v>
      </c>
      <c r="K1005" s="257" t="e">
        <f t="shared" si="549"/>
        <v>#REF!</v>
      </c>
      <c r="L1005" s="257" t="e">
        <f t="shared" si="547"/>
        <v>#REF!</v>
      </c>
      <c r="M1005" s="257"/>
      <c r="N1005" s="257" t="e">
        <f t="shared" si="548"/>
        <v>#REF!</v>
      </c>
    </row>
    <row r="1006" spans="1:14" ht="12.75" hidden="1" customHeight="1" x14ac:dyDescent="0.2">
      <c r="A1006" s="259" t="s">
        <v>299</v>
      </c>
      <c r="B1006" s="271">
        <v>803</v>
      </c>
      <c r="C1006" s="252" t="s">
        <v>200</v>
      </c>
      <c r="D1006" s="252" t="s">
        <v>194</v>
      </c>
      <c r="E1006" s="252" t="s">
        <v>29</v>
      </c>
      <c r="F1006" s="252"/>
      <c r="G1006" s="256"/>
      <c r="H1006" s="256"/>
      <c r="I1006" s="257" t="e">
        <f>#REF!+G1006</f>
        <v>#REF!</v>
      </c>
      <c r="J1006" s="257" t="e">
        <f t="shared" si="546"/>
        <v>#REF!</v>
      </c>
      <c r="K1006" s="257" t="e">
        <f t="shared" si="549"/>
        <v>#REF!</v>
      </c>
      <c r="L1006" s="257" t="e">
        <f t="shared" si="547"/>
        <v>#REF!</v>
      </c>
      <c r="M1006" s="257"/>
      <c r="N1006" s="257" t="e">
        <f t="shared" si="548"/>
        <v>#REF!</v>
      </c>
    </row>
    <row r="1007" spans="1:14" ht="12.75" hidden="1" customHeight="1" x14ac:dyDescent="0.2">
      <c r="A1007" s="259" t="s">
        <v>300</v>
      </c>
      <c r="B1007" s="271">
        <v>803</v>
      </c>
      <c r="C1007" s="252" t="s">
        <v>200</v>
      </c>
      <c r="D1007" s="252" t="s">
        <v>194</v>
      </c>
      <c r="E1007" s="252" t="s">
        <v>29</v>
      </c>
      <c r="F1007" s="252" t="s">
        <v>301</v>
      </c>
      <c r="G1007" s="256"/>
      <c r="H1007" s="256"/>
      <c r="I1007" s="257" t="e">
        <f>#REF!+G1007</f>
        <v>#REF!</v>
      </c>
      <c r="J1007" s="257" t="e">
        <f t="shared" si="546"/>
        <v>#REF!</v>
      </c>
      <c r="K1007" s="257" t="e">
        <f t="shared" si="549"/>
        <v>#REF!</v>
      </c>
      <c r="L1007" s="257" t="e">
        <f t="shared" si="547"/>
        <v>#REF!</v>
      </c>
      <c r="M1007" s="257"/>
      <c r="N1007" s="257" t="e">
        <f t="shared" si="548"/>
        <v>#REF!</v>
      </c>
    </row>
    <row r="1008" spans="1:14" ht="12.75" hidden="1" customHeight="1" x14ac:dyDescent="0.2">
      <c r="A1008" s="259" t="s">
        <v>338</v>
      </c>
      <c r="B1008" s="271">
        <v>803</v>
      </c>
      <c r="C1008" s="252" t="s">
        <v>200</v>
      </c>
      <c r="D1008" s="252" t="s">
        <v>194</v>
      </c>
      <c r="E1008" s="252" t="s">
        <v>29</v>
      </c>
      <c r="F1008" s="252" t="s">
        <v>339</v>
      </c>
      <c r="G1008" s="256"/>
      <c r="H1008" s="256"/>
      <c r="I1008" s="257" t="e">
        <f>#REF!+G1008</f>
        <v>#REF!</v>
      </c>
      <c r="J1008" s="257" t="e">
        <f t="shared" si="546"/>
        <v>#REF!</v>
      </c>
      <c r="K1008" s="257" t="e">
        <f t="shared" si="549"/>
        <v>#REF!</v>
      </c>
      <c r="L1008" s="257" t="e">
        <f t="shared" si="547"/>
        <v>#REF!</v>
      </c>
      <c r="M1008" s="257"/>
      <c r="N1008" s="257" t="e">
        <f t="shared" si="548"/>
        <v>#REF!</v>
      </c>
    </row>
    <row r="1009" spans="1:14" ht="25.5" hidden="1" customHeight="1" x14ac:dyDescent="0.2">
      <c r="A1009" s="259" t="s">
        <v>147</v>
      </c>
      <c r="B1009" s="271">
        <v>803</v>
      </c>
      <c r="C1009" s="252" t="s">
        <v>200</v>
      </c>
      <c r="D1009" s="252" t="s">
        <v>194</v>
      </c>
      <c r="E1009" s="252" t="s">
        <v>30</v>
      </c>
      <c r="F1009" s="252"/>
      <c r="G1009" s="256"/>
      <c r="H1009" s="256"/>
      <c r="I1009" s="257" t="e">
        <f>#REF!+G1009</f>
        <v>#REF!</v>
      </c>
      <c r="J1009" s="257" t="e">
        <f t="shared" si="546"/>
        <v>#REF!</v>
      </c>
      <c r="K1009" s="257" t="e">
        <f t="shared" si="549"/>
        <v>#REF!</v>
      </c>
      <c r="L1009" s="257" t="e">
        <f t="shared" si="547"/>
        <v>#REF!</v>
      </c>
      <c r="M1009" s="257"/>
      <c r="N1009" s="257" t="e">
        <f t="shared" ref="N1009:N1040" si="550">J1009+K1009</f>
        <v>#REF!</v>
      </c>
    </row>
    <row r="1010" spans="1:14" ht="12.75" hidden="1" customHeight="1" x14ac:dyDescent="0.2">
      <c r="A1010" s="259" t="s">
        <v>300</v>
      </c>
      <c r="B1010" s="271">
        <v>803</v>
      </c>
      <c r="C1010" s="252" t="s">
        <v>200</v>
      </c>
      <c r="D1010" s="252" t="s">
        <v>194</v>
      </c>
      <c r="E1010" s="252" t="s">
        <v>30</v>
      </c>
      <c r="F1010" s="252" t="s">
        <v>301</v>
      </c>
      <c r="G1010" s="256"/>
      <c r="H1010" s="256"/>
      <c r="I1010" s="257" t="e">
        <f>#REF!+G1010</f>
        <v>#REF!</v>
      </c>
      <c r="J1010" s="257" t="e">
        <f t="shared" si="546"/>
        <v>#REF!</v>
      </c>
      <c r="K1010" s="257" t="e">
        <f t="shared" si="549"/>
        <v>#REF!</v>
      </c>
      <c r="L1010" s="257" t="e">
        <f t="shared" si="547"/>
        <v>#REF!</v>
      </c>
      <c r="M1010" s="257"/>
      <c r="N1010" s="257" t="e">
        <f t="shared" si="550"/>
        <v>#REF!</v>
      </c>
    </row>
    <row r="1011" spans="1:14" ht="12.75" hidden="1" customHeight="1" x14ac:dyDescent="0.2">
      <c r="A1011" s="259" t="s">
        <v>324</v>
      </c>
      <c r="B1011" s="271">
        <v>803</v>
      </c>
      <c r="C1011" s="252" t="s">
        <v>200</v>
      </c>
      <c r="D1011" s="252" t="s">
        <v>194</v>
      </c>
      <c r="E1011" s="252" t="s">
        <v>325</v>
      </c>
      <c r="F1011" s="252"/>
      <c r="G1011" s="256"/>
      <c r="H1011" s="256"/>
      <c r="I1011" s="257" t="e">
        <f>#REF!+G1011</f>
        <v>#REF!</v>
      </c>
      <c r="J1011" s="257" t="e">
        <f t="shared" si="546"/>
        <v>#REF!</v>
      </c>
      <c r="K1011" s="257" t="e">
        <f t="shared" si="549"/>
        <v>#REF!</v>
      </c>
      <c r="L1011" s="257" t="e">
        <f t="shared" si="547"/>
        <v>#REF!</v>
      </c>
      <c r="M1011" s="257"/>
      <c r="N1011" s="257" t="e">
        <f t="shared" si="550"/>
        <v>#REF!</v>
      </c>
    </row>
    <row r="1012" spans="1:14" ht="25.5" hidden="1" customHeight="1" x14ac:dyDescent="0.2">
      <c r="A1012" s="259" t="s">
        <v>31</v>
      </c>
      <c r="B1012" s="271">
        <v>803</v>
      </c>
      <c r="C1012" s="252" t="s">
        <v>200</v>
      </c>
      <c r="D1012" s="252" t="s">
        <v>194</v>
      </c>
      <c r="E1012" s="252" t="s">
        <v>32</v>
      </c>
      <c r="F1012" s="252"/>
      <c r="G1012" s="256"/>
      <c r="H1012" s="256"/>
      <c r="I1012" s="257" t="e">
        <f>#REF!+G1012</f>
        <v>#REF!</v>
      </c>
      <c r="J1012" s="257" t="e">
        <f t="shared" si="546"/>
        <v>#REF!</v>
      </c>
      <c r="K1012" s="257" t="e">
        <f t="shared" si="549"/>
        <v>#REF!</v>
      </c>
      <c r="L1012" s="257" t="e">
        <f t="shared" si="547"/>
        <v>#REF!</v>
      </c>
      <c r="M1012" s="257"/>
      <c r="N1012" s="257" t="e">
        <f t="shared" si="550"/>
        <v>#REF!</v>
      </c>
    </row>
    <row r="1013" spans="1:14" ht="12.75" hidden="1" customHeight="1" x14ac:dyDescent="0.2">
      <c r="A1013" s="259" t="s">
        <v>320</v>
      </c>
      <c r="B1013" s="271">
        <v>803</v>
      </c>
      <c r="C1013" s="252" t="s">
        <v>200</v>
      </c>
      <c r="D1013" s="252" t="s">
        <v>194</v>
      </c>
      <c r="E1013" s="252" t="s">
        <v>32</v>
      </c>
      <c r="F1013" s="252" t="s">
        <v>321</v>
      </c>
      <c r="G1013" s="256"/>
      <c r="H1013" s="256"/>
      <c r="I1013" s="257" t="e">
        <f>#REF!+G1013</f>
        <v>#REF!</v>
      </c>
      <c r="J1013" s="257" t="e">
        <f t="shared" si="546"/>
        <v>#REF!</v>
      </c>
      <c r="K1013" s="257" t="e">
        <f t="shared" si="549"/>
        <v>#REF!</v>
      </c>
      <c r="L1013" s="257" t="e">
        <f t="shared" si="547"/>
        <v>#REF!</v>
      </c>
      <c r="M1013" s="257"/>
      <c r="N1013" s="257" t="e">
        <f t="shared" si="550"/>
        <v>#REF!</v>
      </c>
    </row>
    <row r="1014" spans="1:14" ht="12.75" hidden="1" customHeight="1" x14ac:dyDescent="0.2">
      <c r="A1014" s="398" t="s">
        <v>33</v>
      </c>
      <c r="B1014" s="249">
        <v>803</v>
      </c>
      <c r="C1014" s="250" t="s">
        <v>200</v>
      </c>
      <c r="D1014" s="250" t="s">
        <v>198</v>
      </c>
      <c r="E1014" s="250"/>
      <c r="F1014" s="250"/>
      <c r="G1014" s="256"/>
      <c r="H1014" s="256"/>
      <c r="I1014" s="257" t="e">
        <f>#REF!+G1014</f>
        <v>#REF!</v>
      </c>
      <c r="J1014" s="257" t="e">
        <f t="shared" si="546"/>
        <v>#REF!</v>
      </c>
      <c r="K1014" s="257" t="e">
        <f t="shared" si="549"/>
        <v>#REF!</v>
      </c>
      <c r="L1014" s="257" t="e">
        <f t="shared" si="547"/>
        <v>#REF!</v>
      </c>
      <c r="M1014" s="257"/>
      <c r="N1014" s="257" t="e">
        <f t="shared" si="550"/>
        <v>#REF!</v>
      </c>
    </row>
    <row r="1015" spans="1:14" ht="38.25" hidden="1" customHeight="1" x14ac:dyDescent="0.2">
      <c r="A1015" s="259" t="s">
        <v>123</v>
      </c>
      <c r="B1015" s="271">
        <v>803</v>
      </c>
      <c r="C1015" s="252" t="s">
        <v>200</v>
      </c>
      <c r="D1015" s="252" t="s">
        <v>198</v>
      </c>
      <c r="E1015" s="260" t="s">
        <v>332</v>
      </c>
      <c r="F1015" s="252"/>
      <c r="G1015" s="256"/>
      <c r="H1015" s="256"/>
      <c r="I1015" s="257" t="e">
        <f>#REF!+G1015</f>
        <v>#REF!</v>
      </c>
      <c r="J1015" s="257" t="e">
        <f t="shared" si="546"/>
        <v>#REF!</v>
      </c>
      <c r="K1015" s="257" t="e">
        <f t="shared" si="549"/>
        <v>#REF!</v>
      </c>
      <c r="L1015" s="257" t="e">
        <f t="shared" si="547"/>
        <v>#REF!</v>
      </c>
      <c r="M1015" s="257"/>
      <c r="N1015" s="257" t="e">
        <f t="shared" si="550"/>
        <v>#REF!</v>
      </c>
    </row>
    <row r="1016" spans="1:14" ht="12.75" hidden="1" customHeight="1" x14ac:dyDescent="0.2">
      <c r="A1016" s="259" t="s">
        <v>333</v>
      </c>
      <c r="B1016" s="271">
        <v>803</v>
      </c>
      <c r="C1016" s="252" t="s">
        <v>200</v>
      </c>
      <c r="D1016" s="252" t="s">
        <v>198</v>
      </c>
      <c r="E1016" s="260" t="s">
        <v>334</v>
      </c>
      <c r="F1016" s="252"/>
      <c r="G1016" s="256"/>
      <c r="H1016" s="256"/>
      <c r="I1016" s="257" t="e">
        <f>#REF!+G1016</f>
        <v>#REF!</v>
      </c>
      <c r="J1016" s="257" t="e">
        <f t="shared" si="546"/>
        <v>#REF!</v>
      </c>
      <c r="K1016" s="257" t="e">
        <f t="shared" si="549"/>
        <v>#REF!</v>
      </c>
      <c r="L1016" s="257" t="e">
        <f t="shared" si="547"/>
        <v>#REF!</v>
      </c>
      <c r="M1016" s="257"/>
      <c r="N1016" s="257" t="e">
        <f t="shared" si="550"/>
        <v>#REF!</v>
      </c>
    </row>
    <row r="1017" spans="1:14" ht="12.75" hidden="1" customHeight="1" x14ac:dyDescent="0.2">
      <c r="A1017" s="259" t="s">
        <v>320</v>
      </c>
      <c r="B1017" s="271">
        <v>803</v>
      </c>
      <c r="C1017" s="252" t="s">
        <v>200</v>
      </c>
      <c r="D1017" s="252" t="s">
        <v>198</v>
      </c>
      <c r="E1017" s="260" t="s">
        <v>334</v>
      </c>
      <c r="F1017" s="252" t="s">
        <v>321</v>
      </c>
      <c r="G1017" s="256"/>
      <c r="H1017" s="256"/>
      <c r="I1017" s="257" t="e">
        <f>#REF!+G1017</f>
        <v>#REF!</v>
      </c>
      <c r="J1017" s="257" t="e">
        <f t="shared" si="546"/>
        <v>#REF!</v>
      </c>
      <c r="K1017" s="257" t="e">
        <f t="shared" si="549"/>
        <v>#REF!</v>
      </c>
      <c r="L1017" s="257" t="e">
        <f t="shared" si="547"/>
        <v>#REF!</v>
      </c>
      <c r="M1017" s="257"/>
      <c r="N1017" s="257" t="e">
        <f t="shared" si="550"/>
        <v>#REF!</v>
      </c>
    </row>
    <row r="1018" spans="1:14" ht="12.75" hidden="1" customHeight="1" x14ac:dyDescent="0.2">
      <c r="A1018" s="259" t="s">
        <v>302</v>
      </c>
      <c r="B1018" s="271">
        <v>803</v>
      </c>
      <c r="C1018" s="252" t="s">
        <v>200</v>
      </c>
      <c r="D1018" s="252" t="s">
        <v>198</v>
      </c>
      <c r="E1018" s="260" t="s">
        <v>334</v>
      </c>
      <c r="F1018" s="252" t="s">
        <v>303</v>
      </c>
      <c r="G1018" s="256"/>
      <c r="H1018" s="256"/>
      <c r="I1018" s="257" t="e">
        <f>#REF!+G1018</f>
        <v>#REF!</v>
      </c>
      <c r="J1018" s="257" t="e">
        <f t="shared" si="546"/>
        <v>#REF!</v>
      </c>
      <c r="K1018" s="257" t="e">
        <f t="shared" si="549"/>
        <v>#REF!</v>
      </c>
      <c r="L1018" s="257" t="e">
        <f t="shared" si="547"/>
        <v>#REF!</v>
      </c>
      <c r="M1018" s="257"/>
      <c r="N1018" s="257" t="e">
        <f t="shared" si="550"/>
        <v>#REF!</v>
      </c>
    </row>
    <row r="1019" spans="1:14" ht="25.5" hidden="1" customHeight="1" x14ac:dyDescent="0.2">
      <c r="A1019" s="259" t="s">
        <v>34</v>
      </c>
      <c r="B1019" s="271">
        <v>803</v>
      </c>
      <c r="C1019" s="252" t="s">
        <v>200</v>
      </c>
      <c r="D1019" s="252" t="s">
        <v>198</v>
      </c>
      <c r="E1019" s="260" t="s">
        <v>35</v>
      </c>
      <c r="F1019" s="252"/>
      <c r="G1019" s="256"/>
      <c r="H1019" s="256"/>
      <c r="I1019" s="257" t="e">
        <f>#REF!+G1019</f>
        <v>#REF!</v>
      </c>
      <c r="J1019" s="257" t="e">
        <f t="shared" si="546"/>
        <v>#REF!</v>
      </c>
      <c r="K1019" s="257" t="e">
        <f t="shared" si="549"/>
        <v>#REF!</v>
      </c>
      <c r="L1019" s="257" t="e">
        <f t="shared" si="547"/>
        <v>#REF!</v>
      </c>
      <c r="M1019" s="257"/>
      <c r="N1019" s="257" t="e">
        <f t="shared" si="550"/>
        <v>#REF!</v>
      </c>
    </row>
    <row r="1020" spans="1:14" ht="12.75" hidden="1" customHeight="1" x14ac:dyDescent="0.2">
      <c r="A1020" s="259" t="s">
        <v>320</v>
      </c>
      <c r="B1020" s="271">
        <v>803</v>
      </c>
      <c r="C1020" s="252" t="s">
        <v>200</v>
      </c>
      <c r="D1020" s="252" t="s">
        <v>198</v>
      </c>
      <c r="E1020" s="260" t="s">
        <v>35</v>
      </c>
      <c r="F1020" s="252" t="s">
        <v>321</v>
      </c>
      <c r="G1020" s="256"/>
      <c r="H1020" s="256"/>
      <c r="I1020" s="257" t="e">
        <f>#REF!+G1020</f>
        <v>#REF!</v>
      </c>
      <c r="J1020" s="257" t="e">
        <f t="shared" si="546"/>
        <v>#REF!</v>
      </c>
      <c r="K1020" s="257" t="e">
        <f t="shared" si="549"/>
        <v>#REF!</v>
      </c>
      <c r="L1020" s="257" t="e">
        <f t="shared" si="547"/>
        <v>#REF!</v>
      </c>
      <c r="M1020" s="257"/>
      <c r="N1020" s="257" t="e">
        <f t="shared" si="550"/>
        <v>#REF!</v>
      </c>
    </row>
    <row r="1021" spans="1:14" ht="12.75" hidden="1" customHeight="1" x14ac:dyDescent="0.2">
      <c r="A1021" s="398" t="s">
        <v>70</v>
      </c>
      <c r="B1021" s="249">
        <v>803</v>
      </c>
      <c r="C1021" s="250">
        <v>11</v>
      </c>
      <c r="D1021" s="250"/>
      <c r="E1021" s="250"/>
      <c r="F1021" s="250"/>
      <c r="G1021" s="256"/>
      <c r="H1021" s="256"/>
      <c r="I1021" s="257" t="e">
        <f>#REF!+G1021</f>
        <v>#REF!</v>
      </c>
      <c r="J1021" s="257" t="e">
        <f t="shared" si="546"/>
        <v>#REF!</v>
      </c>
      <c r="K1021" s="257" t="e">
        <f t="shared" si="549"/>
        <v>#REF!</v>
      </c>
      <c r="L1021" s="257" t="e">
        <f t="shared" si="547"/>
        <v>#REF!</v>
      </c>
      <c r="M1021" s="257"/>
      <c r="N1021" s="257" t="e">
        <f t="shared" si="550"/>
        <v>#REF!</v>
      </c>
    </row>
    <row r="1022" spans="1:14" ht="25.5" hidden="1" customHeight="1" x14ac:dyDescent="0.2">
      <c r="A1022" s="398" t="s">
        <v>289</v>
      </c>
      <c r="B1022" s="249">
        <v>803</v>
      </c>
      <c r="C1022" s="250">
        <v>11</v>
      </c>
      <c r="D1022" s="250" t="s">
        <v>192</v>
      </c>
      <c r="E1022" s="250"/>
      <c r="F1022" s="250"/>
      <c r="G1022" s="256"/>
      <c r="H1022" s="256"/>
      <c r="I1022" s="257" t="e">
        <f>#REF!+G1022</f>
        <v>#REF!</v>
      </c>
      <c r="J1022" s="257" t="e">
        <f t="shared" si="546"/>
        <v>#REF!</v>
      </c>
      <c r="K1022" s="257" t="e">
        <f t="shared" si="549"/>
        <v>#REF!</v>
      </c>
      <c r="L1022" s="257" t="e">
        <f t="shared" si="547"/>
        <v>#REF!</v>
      </c>
      <c r="M1022" s="257"/>
      <c r="N1022" s="257" t="e">
        <f t="shared" si="550"/>
        <v>#REF!</v>
      </c>
    </row>
    <row r="1023" spans="1:14" ht="12.75" hidden="1" customHeight="1" x14ac:dyDescent="0.2">
      <c r="A1023" s="259" t="s">
        <v>11</v>
      </c>
      <c r="B1023" s="271">
        <v>803</v>
      </c>
      <c r="C1023" s="252">
        <v>11</v>
      </c>
      <c r="D1023" s="252" t="s">
        <v>192</v>
      </c>
      <c r="E1023" s="252" t="s">
        <v>12</v>
      </c>
      <c r="F1023" s="252"/>
      <c r="G1023" s="256"/>
      <c r="H1023" s="256"/>
      <c r="I1023" s="257" t="e">
        <f>#REF!+G1023</f>
        <v>#REF!</v>
      </c>
      <c r="J1023" s="257" t="e">
        <f t="shared" si="546"/>
        <v>#REF!</v>
      </c>
      <c r="K1023" s="257" t="e">
        <f t="shared" si="549"/>
        <v>#REF!</v>
      </c>
      <c r="L1023" s="257" t="e">
        <f t="shared" si="547"/>
        <v>#REF!</v>
      </c>
      <c r="M1023" s="257"/>
      <c r="N1023" s="257" t="e">
        <f t="shared" si="550"/>
        <v>#REF!</v>
      </c>
    </row>
    <row r="1024" spans="1:14" ht="51" hidden="1" customHeight="1" x14ac:dyDescent="0.2">
      <c r="A1024" s="259" t="s">
        <v>15</v>
      </c>
      <c r="B1024" s="271">
        <v>803</v>
      </c>
      <c r="C1024" s="252">
        <v>11</v>
      </c>
      <c r="D1024" s="252" t="s">
        <v>192</v>
      </c>
      <c r="E1024" s="252" t="s">
        <v>16</v>
      </c>
      <c r="F1024" s="252"/>
      <c r="G1024" s="256"/>
      <c r="H1024" s="256"/>
      <c r="I1024" s="257" t="e">
        <f>#REF!+G1024</f>
        <v>#REF!</v>
      </c>
      <c r="J1024" s="257" t="e">
        <f t="shared" si="546"/>
        <v>#REF!</v>
      </c>
      <c r="K1024" s="257" t="e">
        <f t="shared" si="549"/>
        <v>#REF!</v>
      </c>
      <c r="L1024" s="257" t="e">
        <f t="shared" si="547"/>
        <v>#REF!</v>
      </c>
      <c r="M1024" s="257"/>
      <c r="N1024" s="257" t="e">
        <f t="shared" si="550"/>
        <v>#REF!</v>
      </c>
    </row>
    <row r="1025" spans="1:14" ht="12.75" hidden="1" customHeight="1" x14ac:dyDescent="0.2">
      <c r="A1025" s="259" t="s">
        <v>153</v>
      </c>
      <c r="B1025" s="271">
        <v>803</v>
      </c>
      <c r="C1025" s="252">
        <v>11</v>
      </c>
      <c r="D1025" s="252" t="s">
        <v>192</v>
      </c>
      <c r="E1025" s="252" t="s">
        <v>16</v>
      </c>
      <c r="F1025" s="252" t="s">
        <v>154</v>
      </c>
      <c r="G1025" s="256"/>
      <c r="H1025" s="256"/>
      <c r="I1025" s="257" t="e">
        <f>#REF!+G1025</f>
        <v>#REF!</v>
      </c>
      <c r="J1025" s="257" t="e">
        <f t="shared" si="546"/>
        <v>#REF!</v>
      </c>
      <c r="K1025" s="257" t="e">
        <f t="shared" si="549"/>
        <v>#REF!</v>
      </c>
      <c r="L1025" s="257" t="e">
        <f t="shared" si="547"/>
        <v>#REF!</v>
      </c>
      <c r="M1025" s="257"/>
      <c r="N1025" s="257" t="e">
        <f t="shared" si="550"/>
        <v>#REF!</v>
      </c>
    </row>
    <row r="1026" spans="1:14" ht="35.450000000000003" hidden="1" customHeight="1" x14ac:dyDescent="0.2">
      <c r="A1026" s="525" t="s">
        <v>36</v>
      </c>
      <c r="B1026" s="526"/>
      <c r="C1026" s="526"/>
      <c r="D1026" s="526"/>
      <c r="E1026" s="526"/>
      <c r="F1026" s="526"/>
      <c r="G1026" s="256"/>
      <c r="H1026" s="256"/>
      <c r="I1026" s="257" t="e">
        <f>#REF!+G1026</f>
        <v>#REF!</v>
      </c>
      <c r="J1026" s="257" t="e">
        <f t="shared" si="546"/>
        <v>#REF!</v>
      </c>
      <c r="K1026" s="257" t="e">
        <f t="shared" si="549"/>
        <v>#REF!</v>
      </c>
      <c r="L1026" s="257" t="e">
        <f t="shared" si="547"/>
        <v>#REF!</v>
      </c>
      <c r="M1026" s="257"/>
      <c r="N1026" s="257" t="e">
        <f t="shared" si="550"/>
        <v>#REF!</v>
      </c>
    </row>
    <row r="1027" spans="1:14" ht="12.75" hidden="1" customHeight="1" x14ac:dyDescent="0.2">
      <c r="A1027" s="398" t="s">
        <v>306</v>
      </c>
      <c r="B1027" s="250" t="s">
        <v>37</v>
      </c>
      <c r="C1027" s="250" t="s">
        <v>196</v>
      </c>
      <c r="D1027" s="250"/>
      <c r="E1027" s="250"/>
      <c r="F1027" s="250"/>
      <c r="G1027" s="256"/>
      <c r="H1027" s="256"/>
      <c r="I1027" s="257" t="e">
        <f>#REF!+G1027</f>
        <v>#REF!</v>
      </c>
      <c r="J1027" s="257" t="e">
        <f t="shared" si="546"/>
        <v>#REF!</v>
      </c>
      <c r="K1027" s="257" t="e">
        <f t="shared" si="549"/>
        <v>#REF!</v>
      </c>
      <c r="L1027" s="257" t="e">
        <f t="shared" si="547"/>
        <v>#REF!</v>
      </c>
      <c r="M1027" s="257"/>
      <c r="N1027" s="257" t="e">
        <f t="shared" si="550"/>
        <v>#REF!</v>
      </c>
    </row>
    <row r="1028" spans="1:14" ht="12.75" hidden="1" customHeight="1" x14ac:dyDescent="0.2">
      <c r="A1028" s="398" t="s">
        <v>38</v>
      </c>
      <c r="B1028" s="250" t="s">
        <v>37</v>
      </c>
      <c r="C1028" s="250" t="s">
        <v>196</v>
      </c>
      <c r="D1028" s="250" t="s">
        <v>233</v>
      </c>
      <c r="E1028" s="250"/>
      <c r="F1028" s="250"/>
      <c r="G1028" s="256"/>
      <c r="H1028" s="256"/>
      <c r="I1028" s="257" t="e">
        <f>#REF!+G1028</f>
        <v>#REF!</v>
      </c>
      <c r="J1028" s="257" t="e">
        <f t="shared" si="546"/>
        <v>#REF!</v>
      </c>
      <c r="K1028" s="257" t="e">
        <f t="shared" si="549"/>
        <v>#REF!</v>
      </c>
      <c r="L1028" s="257" t="e">
        <f t="shared" si="547"/>
        <v>#REF!</v>
      </c>
      <c r="M1028" s="257"/>
      <c r="N1028" s="257" t="e">
        <f t="shared" si="550"/>
        <v>#REF!</v>
      </c>
    </row>
    <row r="1029" spans="1:14" ht="38.25" hidden="1" customHeight="1" x14ac:dyDescent="0.2">
      <c r="A1029" s="259" t="s">
        <v>123</v>
      </c>
      <c r="B1029" s="252" t="s">
        <v>37</v>
      </c>
      <c r="C1029" s="252" t="s">
        <v>196</v>
      </c>
      <c r="D1029" s="252" t="s">
        <v>233</v>
      </c>
      <c r="E1029" s="260" t="s">
        <v>332</v>
      </c>
      <c r="F1029" s="252"/>
      <c r="G1029" s="256"/>
      <c r="H1029" s="256"/>
      <c r="I1029" s="257" t="e">
        <f>#REF!+G1029</f>
        <v>#REF!</v>
      </c>
      <c r="J1029" s="257" t="e">
        <f t="shared" si="546"/>
        <v>#REF!</v>
      </c>
      <c r="K1029" s="257" t="e">
        <f t="shared" si="549"/>
        <v>#REF!</v>
      </c>
      <c r="L1029" s="257" t="e">
        <f t="shared" si="547"/>
        <v>#REF!</v>
      </c>
      <c r="M1029" s="257"/>
      <c r="N1029" s="257" t="e">
        <f t="shared" si="550"/>
        <v>#REF!</v>
      </c>
    </row>
    <row r="1030" spans="1:14" ht="12.75" hidden="1" customHeight="1" x14ac:dyDescent="0.2">
      <c r="A1030" s="259" t="s">
        <v>333</v>
      </c>
      <c r="B1030" s="252" t="s">
        <v>37</v>
      </c>
      <c r="C1030" s="252" t="s">
        <v>196</v>
      </c>
      <c r="D1030" s="252" t="s">
        <v>233</v>
      </c>
      <c r="E1030" s="260" t="s">
        <v>334</v>
      </c>
      <c r="F1030" s="252"/>
      <c r="G1030" s="256"/>
      <c r="H1030" s="256"/>
      <c r="I1030" s="257" t="e">
        <f>#REF!+G1030</f>
        <v>#REF!</v>
      </c>
      <c r="J1030" s="257" t="e">
        <f t="shared" si="546"/>
        <v>#REF!</v>
      </c>
      <c r="K1030" s="257" t="e">
        <f t="shared" si="549"/>
        <v>#REF!</v>
      </c>
      <c r="L1030" s="257" t="e">
        <f t="shared" si="547"/>
        <v>#REF!</v>
      </c>
      <c r="M1030" s="257"/>
      <c r="N1030" s="257" t="e">
        <f t="shared" si="550"/>
        <v>#REF!</v>
      </c>
    </row>
    <row r="1031" spans="1:14" ht="12.75" hidden="1" customHeight="1" x14ac:dyDescent="0.2">
      <c r="A1031" s="259" t="s">
        <v>320</v>
      </c>
      <c r="B1031" s="252" t="s">
        <v>37</v>
      </c>
      <c r="C1031" s="252" t="s">
        <v>196</v>
      </c>
      <c r="D1031" s="252" t="s">
        <v>233</v>
      </c>
      <c r="E1031" s="260" t="s">
        <v>334</v>
      </c>
      <c r="F1031" s="252" t="s">
        <v>321</v>
      </c>
      <c r="G1031" s="256"/>
      <c r="H1031" s="256"/>
      <c r="I1031" s="257" t="e">
        <f>#REF!+G1031</f>
        <v>#REF!</v>
      </c>
      <c r="J1031" s="257" t="e">
        <f t="shared" si="546"/>
        <v>#REF!</v>
      </c>
      <c r="K1031" s="257" t="e">
        <f t="shared" si="549"/>
        <v>#REF!</v>
      </c>
      <c r="L1031" s="257" t="e">
        <f t="shared" si="547"/>
        <v>#REF!</v>
      </c>
      <c r="M1031" s="257"/>
      <c r="N1031" s="257" t="e">
        <f t="shared" si="550"/>
        <v>#REF!</v>
      </c>
    </row>
    <row r="1032" spans="1:14" ht="12.75" hidden="1" customHeight="1" x14ac:dyDescent="0.2">
      <c r="A1032" s="259" t="s">
        <v>302</v>
      </c>
      <c r="B1032" s="252" t="s">
        <v>37</v>
      </c>
      <c r="C1032" s="252" t="s">
        <v>196</v>
      </c>
      <c r="D1032" s="252" t="s">
        <v>233</v>
      </c>
      <c r="E1032" s="260" t="s">
        <v>334</v>
      </c>
      <c r="F1032" s="252" t="s">
        <v>303</v>
      </c>
      <c r="G1032" s="256"/>
      <c r="H1032" s="256"/>
      <c r="I1032" s="257" t="e">
        <f>#REF!+G1032</f>
        <v>#REF!</v>
      </c>
      <c r="J1032" s="257" t="e">
        <f t="shared" si="546"/>
        <v>#REF!</v>
      </c>
      <c r="K1032" s="257" t="e">
        <f t="shared" si="549"/>
        <v>#REF!</v>
      </c>
      <c r="L1032" s="257" t="e">
        <f t="shared" si="547"/>
        <v>#REF!</v>
      </c>
      <c r="M1032" s="257"/>
      <c r="N1032" s="257" t="e">
        <f t="shared" si="550"/>
        <v>#REF!</v>
      </c>
    </row>
    <row r="1033" spans="1:14" ht="25.5" hidden="1" customHeight="1" x14ac:dyDescent="0.2">
      <c r="A1033" s="259" t="s">
        <v>39</v>
      </c>
      <c r="B1033" s="252" t="s">
        <v>37</v>
      </c>
      <c r="C1033" s="252" t="s">
        <v>196</v>
      </c>
      <c r="D1033" s="252" t="s">
        <v>233</v>
      </c>
      <c r="E1033" s="260" t="s">
        <v>307</v>
      </c>
      <c r="F1033" s="252"/>
      <c r="G1033" s="256"/>
      <c r="H1033" s="256"/>
      <c r="I1033" s="257" t="e">
        <f>#REF!+G1033</f>
        <v>#REF!</v>
      </c>
      <c r="J1033" s="257" t="e">
        <f t="shared" si="546"/>
        <v>#REF!</v>
      </c>
      <c r="K1033" s="257" t="e">
        <f t="shared" si="549"/>
        <v>#REF!</v>
      </c>
      <c r="L1033" s="257" t="e">
        <f t="shared" si="547"/>
        <v>#REF!</v>
      </c>
      <c r="M1033" s="257"/>
      <c r="N1033" s="257" t="e">
        <f t="shared" si="550"/>
        <v>#REF!</v>
      </c>
    </row>
    <row r="1034" spans="1:14" ht="12.75" hidden="1" customHeight="1" x14ac:dyDescent="0.2">
      <c r="A1034" s="259" t="s">
        <v>320</v>
      </c>
      <c r="B1034" s="252" t="s">
        <v>37</v>
      </c>
      <c r="C1034" s="252" t="s">
        <v>196</v>
      </c>
      <c r="D1034" s="252" t="s">
        <v>233</v>
      </c>
      <c r="E1034" s="260" t="s">
        <v>307</v>
      </c>
      <c r="F1034" s="252" t="s">
        <v>321</v>
      </c>
      <c r="G1034" s="256"/>
      <c r="H1034" s="256"/>
      <c r="I1034" s="257" t="e">
        <f>#REF!+G1034</f>
        <v>#REF!</v>
      </c>
      <c r="J1034" s="257" t="e">
        <f t="shared" si="546"/>
        <v>#REF!</v>
      </c>
      <c r="K1034" s="257" t="e">
        <f t="shared" si="549"/>
        <v>#REF!</v>
      </c>
      <c r="L1034" s="257" t="e">
        <f t="shared" si="547"/>
        <v>#REF!</v>
      </c>
      <c r="M1034" s="257"/>
      <c r="N1034" s="257" t="e">
        <f t="shared" si="550"/>
        <v>#REF!</v>
      </c>
    </row>
    <row r="1035" spans="1:14" ht="51" hidden="1" customHeight="1" x14ac:dyDescent="0.2">
      <c r="A1035" s="525" t="s">
        <v>40</v>
      </c>
      <c r="B1035" s="526"/>
      <c r="C1035" s="526"/>
      <c r="D1035" s="526"/>
      <c r="E1035" s="526"/>
      <c r="F1035" s="526"/>
      <c r="G1035" s="256"/>
      <c r="H1035" s="256"/>
      <c r="I1035" s="257" t="e">
        <f>#REF!+G1035</f>
        <v>#REF!</v>
      </c>
      <c r="J1035" s="257" t="e">
        <f t="shared" si="546"/>
        <v>#REF!</v>
      </c>
      <c r="K1035" s="257" t="e">
        <f t="shared" si="549"/>
        <v>#REF!</v>
      </c>
      <c r="L1035" s="257" t="e">
        <f t="shared" si="547"/>
        <v>#REF!</v>
      </c>
      <c r="M1035" s="257"/>
      <c r="N1035" s="257" t="e">
        <f t="shared" si="550"/>
        <v>#REF!</v>
      </c>
    </row>
    <row r="1036" spans="1:14" ht="12.75" hidden="1" customHeight="1" x14ac:dyDescent="0.2">
      <c r="A1036" s="398" t="s">
        <v>364</v>
      </c>
      <c r="B1036" s="249">
        <v>811</v>
      </c>
      <c r="C1036" s="250" t="s">
        <v>192</v>
      </c>
      <c r="D1036" s="250"/>
      <c r="E1036" s="250"/>
      <c r="F1036" s="250"/>
      <c r="G1036" s="256"/>
      <c r="H1036" s="256"/>
      <c r="I1036" s="257" t="e">
        <f>#REF!+G1036</f>
        <v>#REF!</v>
      </c>
      <c r="J1036" s="257" t="e">
        <f t="shared" si="546"/>
        <v>#REF!</v>
      </c>
      <c r="K1036" s="257" t="e">
        <f t="shared" si="549"/>
        <v>#REF!</v>
      </c>
      <c r="L1036" s="257" t="e">
        <f t="shared" si="547"/>
        <v>#REF!</v>
      </c>
      <c r="M1036" s="257"/>
      <c r="N1036" s="257" t="e">
        <f t="shared" si="550"/>
        <v>#REF!</v>
      </c>
    </row>
    <row r="1037" spans="1:14" ht="12.75" hidden="1" customHeight="1" x14ac:dyDescent="0.2">
      <c r="A1037" s="398" t="s">
        <v>250</v>
      </c>
      <c r="B1037" s="249">
        <v>811</v>
      </c>
      <c r="C1037" s="250" t="s">
        <v>192</v>
      </c>
      <c r="D1037" s="250" t="s">
        <v>196</v>
      </c>
      <c r="E1037" s="250"/>
      <c r="F1037" s="250"/>
      <c r="G1037" s="256"/>
      <c r="H1037" s="256"/>
      <c r="I1037" s="257" t="e">
        <f>#REF!+G1037</f>
        <v>#REF!</v>
      </c>
      <c r="J1037" s="257" t="e">
        <f t="shared" si="546"/>
        <v>#REF!</v>
      </c>
      <c r="K1037" s="257" t="e">
        <f t="shared" si="549"/>
        <v>#REF!</v>
      </c>
      <c r="L1037" s="257" t="e">
        <f t="shared" si="547"/>
        <v>#REF!</v>
      </c>
      <c r="M1037" s="257"/>
      <c r="N1037" s="257" t="e">
        <f t="shared" si="550"/>
        <v>#REF!</v>
      </c>
    </row>
    <row r="1038" spans="1:14" ht="25.5" hidden="1" customHeight="1" x14ac:dyDescent="0.2">
      <c r="A1038" s="259" t="s">
        <v>251</v>
      </c>
      <c r="B1038" s="271">
        <v>811</v>
      </c>
      <c r="C1038" s="252" t="s">
        <v>192</v>
      </c>
      <c r="D1038" s="252" t="s">
        <v>196</v>
      </c>
      <c r="E1038" s="252" t="s">
        <v>252</v>
      </c>
      <c r="F1038" s="252"/>
      <c r="G1038" s="256"/>
      <c r="H1038" s="256"/>
      <c r="I1038" s="257" t="e">
        <f>#REF!+G1038</f>
        <v>#REF!</v>
      </c>
      <c r="J1038" s="257" t="e">
        <f t="shared" si="546"/>
        <v>#REF!</v>
      </c>
      <c r="K1038" s="257" t="e">
        <f t="shared" si="549"/>
        <v>#REF!</v>
      </c>
      <c r="L1038" s="257" t="e">
        <f t="shared" si="547"/>
        <v>#REF!</v>
      </c>
      <c r="M1038" s="257"/>
      <c r="N1038" s="257" t="e">
        <f t="shared" si="550"/>
        <v>#REF!</v>
      </c>
    </row>
    <row r="1039" spans="1:14" ht="25.5" hidden="1" customHeight="1" x14ac:dyDescent="0.2">
      <c r="A1039" s="259" t="s">
        <v>253</v>
      </c>
      <c r="B1039" s="271">
        <v>811</v>
      </c>
      <c r="C1039" s="252" t="s">
        <v>192</v>
      </c>
      <c r="D1039" s="252" t="s">
        <v>196</v>
      </c>
      <c r="E1039" s="252" t="s">
        <v>254</v>
      </c>
      <c r="F1039" s="252"/>
      <c r="G1039" s="256"/>
      <c r="H1039" s="256"/>
      <c r="I1039" s="257" t="e">
        <f>#REF!+G1039</f>
        <v>#REF!</v>
      </c>
      <c r="J1039" s="257" t="e">
        <f t="shared" si="546"/>
        <v>#REF!</v>
      </c>
      <c r="K1039" s="257" t="e">
        <f t="shared" si="549"/>
        <v>#REF!</v>
      </c>
      <c r="L1039" s="257" t="e">
        <f t="shared" si="547"/>
        <v>#REF!</v>
      </c>
      <c r="M1039" s="257"/>
      <c r="N1039" s="257" t="e">
        <f t="shared" si="550"/>
        <v>#REF!</v>
      </c>
    </row>
    <row r="1040" spans="1:14" ht="12.75" hidden="1" customHeight="1" x14ac:dyDescent="0.2">
      <c r="A1040" s="259" t="s">
        <v>320</v>
      </c>
      <c r="B1040" s="271">
        <v>811</v>
      </c>
      <c r="C1040" s="252" t="s">
        <v>192</v>
      </c>
      <c r="D1040" s="252" t="s">
        <v>196</v>
      </c>
      <c r="E1040" s="252" t="s">
        <v>254</v>
      </c>
      <c r="F1040" s="252" t="s">
        <v>321</v>
      </c>
      <c r="G1040" s="256"/>
      <c r="H1040" s="256"/>
      <c r="I1040" s="257" t="e">
        <f>#REF!+G1040</f>
        <v>#REF!</v>
      </c>
      <c r="J1040" s="257" t="e">
        <f t="shared" si="546"/>
        <v>#REF!</v>
      </c>
      <c r="K1040" s="257" t="e">
        <f t="shared" si="549"/>
        <v>#REF!</v>
      </c>
      <c r="L1040" s="257" t="e">
        <f t="shared" si="547"/>
        <v>#REF!</v>
      </c>
      <c r="M1040" s="257"/>
      <c r="N1040" s="257" t="e">
        <f t="shared" si="550"/>
        <v>#REF!</v>
      </c>
    </row>
    <row r="1041" spans="1:14" ht="12.75" hidden="1" customHeight="1" x14ac:dyDescent="0.2">
      <c r="A1041" s="398" t="s">
        <v>236</v>
      </c>
      <c r="B1041" s="249">
        <v>811</v>
      </c>
      <c r="C1041" s="250" t="s">
        <v>194</v>
      </c>
      <c r="D1041" s="250"/>
      <c r="E1041" s="250"/>
      <c r="F1041" s="250"/>
      <c r="G1041" s="256"/>
      <c r="H1041" s="256"/>
      <c r="I1041" s="257" t="e">
        <f>#REF!+G1041</f>
        <v>#REF!</v>
      </c>
      <c r="J1041" s="257" t="e">
        <f t="shared" ref="J1041:J1104" si="551">H1041+I1041</f>
        <v>#REF!</v>
      </c>
      <c r="K1041" s="257" t="e">
        <f t="shared" si="549"/>
        <v>#REF!</v>
      </c>
      <c r="L1041" s="257" t="e">
        <f t="shared" si="549"/>
        <v>#REF!</v>
      </c>
      <c r="M1041" s="257"/>
      <c r="N1041" s="257" t="e">
        <f t="shared" ref="N1041:N1072" si="552">J1041+K1041</f>
        <v>#REF!</v>
      </c>
    </row>
    <row r="1042" spans="1:14" ht="25.5" hidden="1" customHeight="1" x14ac:dyDescent="0.2">
      <c r="A1042" s="398" t="s">
        <v>255</v>
      </c>
      <c r="B1042" s="249">
        <v>811</v>
      </c>
      <c r="C1042" s="250" t="s">
        <v>194</v>
      </c>
      <c r="D1042" s="250" t="s">
        <v>212</v>
      </c>
      <c r="E1042" s="250"/>
      <c r="F1042" s="250"/>
      <c r="G1042" s="256"/>
      <c r="H1042" s="256"/>
      <c r="I1042" s="257" t="e">
        <f>#REF!+G1042</f>
        <v>#REF!</v>
      </c>
      <c r="J1042" s="257" t="e">
        <f t="shared" si="551"/>
        <v>#REF!</v>
      </c>
      <c r="K1042" s="257" t="e">
        <f t="shared" si="549"/>
        <v>#REF!</v>
      </c>
      <c r="L1042" s="257" t="e">
        <f t="shared" si="549"/>
        <v>#REF!</v>
      </c>
      <c r="M1042" s="257"/>
      <c r="N1042" s="257" t="e">
        <f t="shared" si="552"/>
        <v>#REF!</v>
      </c>
    </row>
    <row r="1043" spans="1:14" ht="12.75" hidden="1" customHeight="1" x14ac:dyDescent="0.2">
      <c r="A1043" s="259" t="s">
        <v>237</v>
      </c>
      <c r="B1043" s="271">
        <v>811</v>
      </c>
      <c r="C1043" s="252" t="s">
        <v>194</v>
      </c>
      <c r="D1043" s="252" t="s">
        <v>212</v>
      </c>
      <c r="E1043" s="252" t="s">
        <v>238</v>
      </c>
      <c r="F1043" s="252"/>
      <c r="G1043" s="256"/>
      <c r="H1043" s="256"/>
      <c r="I1043" s="257" t="e">
        <f>#REF!+G1043</f>
        <v>#REF!</v>
      </c>
      <c r="J1043" s="257" t="e">
        <f t="shared" si="551"/>
        <v>#REF!</v>
      </c>
      <c r="K1043" s="257" t="e">
        <f t="shared" ref="K1043:L1106" si="553">H1043+I1043</f>
        <v>#REF!</v>
      </c>
      <c r="L1043" s="257" t="e">
        <f t="shared" si="553"/>
        <v>#REF!</v>
      </c>
      <c r="M1043" s="257"/>
      <c r="N1043" s="257" t="e">
        <f t="shared" si="552"/>
        <v>#REF!</v>
      </c>
    </row>
    <row r="1044" spans="1:14" ht="38.25" hidden="1" customHeight="1" x14ac:dyDescent="0.2">
      <c r="A1044" s="259" t="s">
        <v>41</v>
      </c>
      <c r="B1044" s="271">
        <v>811</v>
      </c>
      <c r="C1044" s="252" t="s">
        <v>194</v>
      </c>
      <c r="D1044" s="252" t="s">
        <v>212</v>
      </c>
      <c r="E1044" s="252" t="s">
        <v>241</v>
      </c>
      <c r="F1044" s="252"/>
      <c r="G1044" s="256"/>
      <c r="H1044" s="256"/>
      <c r="I1044" s="257" t="e">
        <f>#REF!+G1044</f>
        <v>#REF!</v>
      </c>
      <c r="J1044" s="257" t="e">
        <f t="shared" si="551"/>
        <v>#REF!</v>
      </c>
      <c r="K1044" s="257" t="e">
        <f t="shared" si="553"/>
        <v>#REF!</v>
      </c>
      <c r="L1044" s="257" t="e">
        <f t="shared" si="553"/>
        <v>#REF!</v>
      </c>
      <c r="M1044" s="257"/>
      <c r="N1044" s="257" t="e">
        <f t="shared" si="552"/>
        <v>#REF!</v>
      </c>
    </row>
    <row r="1045" spans="1:14" ht="25.5" hidden="1" customHeight="1" x14ac:dyDescent="0.2">
      <c r="A1045" s="259" t="s">
        <v>239</v>
      </c>
      <c r="B1045" s="271">
        <v>811</v>
      </c>
      <c r="C1045" s="252" t="s">
        <v>194</v>
      </c>
      <c r="D1045" s="252" t="s">
        <v>212</v>
      </c>
      <c r="E1045" s="252" t="s">
        <v>241</v>
      </c>
      <c r="F1045" s="252" t="s">
        <v>240</v>
      </c>
      <c r="G1045" s="256"/>
      <c r="H1045" s="256"/>
      <c r="I1045" s="257" t="e">
        <f>#REF!+G1045</f>
        <v>#REF!</v>
      </c>
      <c r="J1045" s="257" t="e">
        <f t="shared" si="551"/>
        <v>#REF!</v>
      </c>
      <c r="K1045" s="257" t="e">
        <f t="shared" si="553"/>
        <v>#REF!</v>
      </c>
      <c r="L1045" s="257" t="e">
        <f t="shared" si="553"/>
        <v>#REF!</v>
      </c>
      <c r="M1045" s="257"/>
      <c r="N1045" s="257" t="e">
        <f t="shared" si="552"/>
        <v>#REF!</v>
      </c>
    </row>
    <row r="1046" spans="1:14" ht="38.25" hidden="1" customHeight="1" x14ac:dyDescent="0.2">
      <c r="A1046" s="259" t="s">
        <v>242</v>
      </c>
      <c r="B1046" s="271">
        <v>811</v>
      </c>
      <c r="C1046" s="252" t="s">
        <v>194</v>
      </c>
      <c r="D1046" s="252" t="s">
        <v>212</v>
      </c>
      <c r="E1046" s="252" t="s">
        <v>243</v>
      </c>
      <c r="F1046" s="252"/>
      <c r="G1046" s="256"/>
      <c r="H1046" s="256"/>
      <c r="I1046" s="257" t="e">
        <f>#REF!+G1046</f>
        <v>#REF!</v>
      </c>
      <c r="J1046" s="257" t="e">
        <f t="shared" si="551"/>
        <v>#REF!</v>
      </c>
      <c r="K1046" s="257" t="e">
        <f t="shared" si="553"/>
        <v>#REF!</v>
      </c>
      <c r="L1046" s="257" t="e">
        <f t="shared" si="553"/>
        <v>#REF!</v>
      </c>
      <c r="M1046" s="257"/>
      <c r="N1046" s="257" t="e">
        <f t="shared" si="552"/>
        <v>#REF!</v>
      </c>
    </row>
    <row r="1047" spans="1:14" ht="25.5" hidden="1" customHeight="1" x14ac:dyDescent="0.2">
      <c r="A1047" s="259" t="s">
        <v>239</v>
      </c>
      <c r="B1047" s="271">
        <v>811</v>
      </c>
      <c r="C1047" s="252" t="s">
        <v>194</v>
      </c>
      <c r="D1047" s="252" t="s">
        <v>212</v>
      </c>
      <c r="E1047" s="252" t="s">
        <v>243</v>
      </c>
      <c r="F1047" s="252" t="s">
        <v>240</v>
      </c>
      <c r="G1047" s="256"/>
      <c r="H1047" s="256"/>
      <c r="I1047" s="257" t="e">
        <f>#REF!+G1047</f>
        <v>#REF!</v>
      </c>
      <c r="J1047" s="257" t="e">
        <f t="shared" si="551"/>
        <v>#REF!</v>
      </c>
      <c r="K1047" s="257" t="e">
        <f t="shared" si="553"/>
        <v>#REF!</v>
      </c>
      <c r="L1047" s="257" t="e">
        <f t="shared" si="553"/>
        <v>#REF!</v>
      </c>
      <c r="M1047" s="257"/>
      <c r="N1047" s="257" t="e">
        <f t="shared" si="552"/>
        <v>#REF!</v>
      </c>
    </row>
    <row r="1048" spans="1:14" ht="25.5" hidden="1" customHeight="1" x14ac:dyDescent="0.2">
      <c r="A1048" s="259" t="s">
        <v>256</v>
      </c>
      <c r="B1048" s="271">
        <v>811</v>
      </c>
      <c r="C1048" s="252" t="s">
        <v>194</v>
      </c>
      <c r="D1048" s="252" t="s">
        <v>212</v>
      </c>
      <c r="E1048" s="252" t="s">
        <v>257</v>
      </c>
      <c r="F1048" s="252"/>
      <c r="G1048" s="256"/>
      <c r="H1048" s="256"/>
      <c r="I1048" s="257" t="e">
        <f>#REF!+G1048</f>
        <v>#REF!</v>
      </c>
      <c r="J1048" s="257" t="e">
        <f t="shared" si="551"/>
        <v>#REF!</v>
      </c>
      <c r="K1048" s="257" t="e">
        <f t="shared" si="553"/>
        <v>#REF!</v>
      </c>
      <c r="L1048" s="257" t="e">
        <f t="shared" si="553"/>
        <v>#REF!</v>
      </c>
      <c r="M1048" s="257"/>
      <c r="N1048" s="257" t="e">
        <f t="shared" si="552"/>
        <v>#REF!</v>
      </c>
    </row>
    <row r="1049" spans="1:14" ht="25.5" hidden="1" customHeight="1" x14ac:dyDescent="0.2">
      <c r="A1049" s="259" t="s">
        <v>258</v>
      </c>
      <c r="B1049" s="271">
        <v>811</v>
      </c>
      <c r="C1049" s="252" t="s">
        <v>194</v>
      </c>
      <c r="D1049" s="252" t="s">
        <v>212</v>
      </c>
      <c r="E1049" s="252" t="s">
        <v>259</v>
      </c>
      <c r="F1049" s="252"/>
      <c r="G1049" s="256"/>
      <c r="H1049" s="256"/>
      <c r="I1049" s="257" t="e">
        <f>#REF!+G1049</f>
        <v>#REF!</v>
      </c>
      <c r="J1049" s="257" t="e">
        <f t="shared" si="551"/>
        <v>#REF!</v>
      </c>
      <c r="K1049" s="257" t="e">
        <f t="shared" si="553"/>
        <v>#REF!</v>
      </c>
      <c r="L1049" s="257" t="e">
        <f t="shared" si="553"/>
        <v>#REF!</v>
      </c>
      <c r="M1049" s="257"/>
      <c r="N1049" s="257" t="e">
        <f t="shared" si="552"/>
        <v>#REF!</v>
      </c>
    </row>
    <row r="1050" spans="1:14" ht="25.5" hidden="1" customHeight="1" x14ac:dyDescent="0.2">
      <c r="A1050" s="259" t="s">
        <v>239</v>
      </c>
      <c r="B1050" s="271">
        <v>811</v>
      </c>
      <c r="C1050" s="252" t="s">
        <v>194</v>
      </c>
      <c r="D1050" s="252" t="s">
        <v>212</v>
      </c>
      <c r="E1050" s="252" t="s">
        <v>259</v>
      </c>
      <c r="F1050" s="252" t="s">
        <v>240</v>
      </c>
      <c r="G1050" s="256"/>
      <c r="H1050" s="256"/>
      <c r="I1050" s="257" t="e">
        <f>#REF!+G1050</f>
        <v>#REF!</v>
      </c>
      <c r="J1050" s="257" t="e">
        <f t="shared" si="551"/>
        <v>#REF!</v>
      </c>
      <c r="K1050" s="257" t="e">
        <f t="shared" si="553"/>
        <v>#REF!</v>
      </c>
      <c r="L1050" s="257" t="e">
        <f t="shared" si="553"/>
        <v>#REF!</v>
      </c>
      <c r="M1050" s="257"/>
      <c r="N1050" s="257" t="e">
        <f t="shared" si="552"/>
        <v>#REF!</v>
      </c>
    </row>
    <row r="1051" spans="1:14" ht="38.25" hidden="1" customHeight="1" x14ac:dyDescent="0.2">
      <c r="A1051" s="259" t="s">
        <v>42</v>
      </c>
      <c r="B1051" s="271">
        <v>811</v>
      </c>
      <c r="C1051" s="252" t="s">
        <v>194</v>
      </c>
      <c r="D1051" s="252" t="s">
        <v>212</v>
      </c>
      <c r="E1051" s="252" t="s">
        <v>43</v>
      </c>
      <c r="F1051" s="252"/>
      <c r="G1051" s="256"/>
      <c r="H1051" s="256"/>
      <c r="I1051" s="257" t="e">
        <f>#REF!+G1051</f>
        <v>#REF!</v>
      </c>
      <c r="J1051" s="257" t="e">
        <f t="shared" si="551"/>
        <v>#REF!</v>
      </c>
      <c r="K1051" s="257" t="e">
        <f t="shared" si="553"/>
        <v>#REF!</v>
      </c>
      <c r="L1051" s="257" t="e">
        <f t="shared" si="553"/>
        <v>#REF!</v>
      </c>
      <c r="M1051" s="257"/>
      <c r="N1051" s="257" t="e">
        <f t="shared" si="552"/>
        <v>#REF!</v>
      </c>
    </row>
    <row r="1052" spans="1:14" ht="25.5" hidden="1" customHeight="1" x14ac:dyDescent="0.2">
      <c r="A1052" s="259" t="s">
        <v>239</v>
      </c>
      <c r="B1052" s="271">
        <v>811</v>
      </c>
      <c r="C1052" s="252" t="s">
        <v>194</v>
      </c>
      <c r="D1052" s="252" t="s">
        <v>212</v>
      </c>
      <c r="E1052" s="252" t="s">
        <v>43</v>
      </c>
      <c r="F1052" s="252" t="s">
        <v>240</v>
      </c>
      <c r="G1052" s="256"/>
      <c r="H1052" s="256"/>
      <c r="I1052" s="257" t="e">
        <f>#REF!+G1052</f>
        <v>#REF!</v>
      </c>
      <c r="J1052" s="257" t="e">
        <f t="shared" si="551"/>
        <v>#REF!</v>
      </c>
      <c r="K1052" s="257" t="e">
        <f t="shared" si="553"/>
        <v>#REF!</v>
      </c>
      <c r="L1052" s="257" t="e">
        <f t="shared" si="553"/>
        <v>#REF!</v>
      </c>
      <c r="M1052" s="257"/>
      <c r="N1052" s="257" t="e">
        <f t="shared" si="552"/>
        <v>#REF!</v>
      </c>
    </row>
    <row r="1053" spans="1:14" ht="12.75" hidden="1" customHeight="1" x14ac:dyDescent="0.2">
      <c r="A1053" s="398" t="s">
        <v>213</v>
      </c>
      <c r="B1053" s="249">
        <v>811</v>
      </c>
      <c r="C1053" s="250" t="s">
        <v>194</v>
      </c>
      <c r="D1053" s="250">
        <v>10</v>
      </c>
      <c r="E1053" s="250"/>
      <c r="F1053" s="250"/>
      <c r="G1053" s="256"/>
      <c r="H1053" s="256"/>
      <c r="I1053" s="257" t="e">
        <f>#REF!+G1053</f>
        <v>#REF!</v>
      </c>
      <c r="J1053" s="257" t="e">
        <f t="shared" si="551"/>
        <v>#REF!</v>
      </c>
      <c r="K1053" s="257" t="e">
        <f t="shared" si="553"/>
        <v>#REF!</v>
      </c>
      <c r="L1053" s="257" t="e">
        <f t="shared" si="553"/>
        <v>#REF!</v>
      </c>
      <c r="M1053" s="257"/>
      <c r="N1053" s="257" t="e">
        <f t="shared" si="552"/>
        <v>#REF!</v>
      </c>
    </row>
    <row r="1054" spans="1:14" ht="12.75" hidden="1" customHeight="1" x14ac:dyDescent="0.2">
      <c r="A1054" s="259" t="s">
        <v>237</v>
      </c>
      <c r="B1054" s="271">
        <v>811</v>
      </c>
      <c r="C1054" s="252" t="s">
        <v>194</v>
      </c>
      <c r="D1054" s="252">
        <v>10</v>
      </c>
      <c r="E1054" s="252" t="s">
        <v>238</v>
      </c>
      <c r="F1054" s="252"/>
      <c r="G1054" s="256"/>
      <c r="H1054" s="256"/>
      <c r="I1054" s="257" t="e">
        <f>#REF!+G1054</f>
        <v>#REF!</v>
      </c>
      <c r="J1054" s="257" t="e">
        <f t="shared" si="551"/>
        <v>#REF!</v>
      </c>
      <c r="K1054" s="257" t="e">
        <f t="shared" si="553"/>
        <v>#REF!</v>
      </c>
      <c r="L1054" s="257" t="e">
        <f t="shared" si="553"/>
        <v>#REF!</v>
      </c>
      <c r="M1054" s="257"/>
      <c r="N1054" s="257" t="e">
        <f t="shared" si="552"/>
        <v>#REF!</v>
      </c>
    </row>
    <row r="1055" spans="1:14" ht="25.5" hidden="1" customHeight="1" x14ac:dyDescent="0.2">
      <c r="A1055" s="259" t="s">
        <v>44</v>
      </c>
      <c r="B1055" s="271">
        <v>811</v>
      </c>
      <c r="C1055" s="252" t="s">
        <v>194</v>
      </c>
      <c r="D1055" s="252">
        <v>10</v>
      </c>
      <c r="E1055" s="252" t="s">
        <v>241</v>
      </c>
      <c r="F1055" s="252"/>
      <c r="G1055" s="256"/>
      <c r="H1055" s="256"/>
      <c r="I1055" s="257" t="e">
        <f>#REF!+G1055</f>
        <v>#REF!</v>
      </c>
      <c r="J1055" s="257" t="e">
        <f t="shared" si="551"/>
        <v>#REF!</v>
      </c>
      <c r="K1055" s="257" t="e">
        <f t="shared" si="553"/>
        <v>#REF!</v>
      </c>
      <c r="L1055" s="257" t="e">
        <f t="shared" si="553"/>
        <v>#REF!</v>
      </c>
      <c r="M1055" s="257"/>
      <c r="N1055" s="257" t="e">
        <f t="shared" si="552"/>
        <v>#REF!</v>
      </c>
    </row>
    <row r="1056" spans="1:14" ht="25.5" hidden="1" customHeight="1" x14ac:dyDescent="0.2">
      <c r="A1056" s="259" t="s">
        <v>239</v>
      </c>
      <c r="B1056" s="271">
        <v>811</v>
      </c>
      <c r="C1056" s="252" t="s">
        <v>194</v>
      </c>
      <c r="D1056" s="252">
        <v>10</v>
      </c>
      <c r="E1056" s="252" t="s">
        <v>241</v>
      </c>
      <c r="F1056" s="252" t="s">
        <v>240</v>
      </c>
      <c r="G1056" s="256"/>
      <c r="H1056" s="256"/>
      <c r="I1056" s="257" t="e">
        <f>#REF!+G1056</f>
        <v>#REF!</v>
      </c>
      <c r="J1056" s="257" t="e">
        <f t="shared" si="551"/>
        <v>#REF!</v>
      </c>
      <c r="K1056" s="257" t="e">
        <f t="shared" si="553"/>
        <v>#REF!</v>
      </c>
      <c r="L1056" s="257" t="e">
        <f t="shared" si="553"/>
        <v>#REF!</v>
      </c>
      <c r="M1056" s="257"/>
      <c r="N1056" s="257" t="e">
        <f t="shared" si="552"/>
        <v>#REF!</v>
      </c>
    </row>
    <row r="1057" spans="1:14" ht="12.75" hidden="1" customHeight="1" x14ac:dyDescent="0.2">
      <c r="A1057" s="259" t="s">
        <v>244</v>
      </c>
      <c r="B1057" s="271">
        <v>811</v>
      </c>
      <c r="C1057" s="252" t="s">
        <v>194</v>
      </c>
      <c r="D1057" s="252">
        <v>10</v>
      </c>
      <c r="E1057" s="252" t="s">
        <v>245</v>
      </c>
      <c r="F1057" s="252"/>
      <c r="G1057" s="256"/>
      <c r="H1057" s="256"/>
      <c r="I1057" s="257" t="e">
        <f>#REF!+G1057</f>
        <v>#REF!</v>
      </c>
      <c r="J1057" s="257" t="e">
        <f t="shared" si="551"/>
        <v>#REF!</v>
      </c>
      <c r="K1057" s="257" t="e">
        <f t="shared" si="553"/>
        <v>#REF!</v>
      </c>
      <c r="L1057" s="257" t="e">
        <f t="shared" si="553"/>
        <v>#REF!</v>
      </c>
      <c r="M1057" s="257"/>
      <c r="N1057" s="257" t="e">
        <f t="shared" si="552"/>
        <v>#REF!</v>
      </c>
    </row>
    <row r="1058" spans="1:14" ht="25.5" hidden="1" customHeight="1" x14ac:dyDescent="0.2">
      <c r="A1058" s="259" t="s">
        <v>246</v>
      </c>
      <c r="B1058" s="271">
        <v>811</v>
      </c>
      <c r="C1058" s="252" t="s">
        <v>194</v>
      </c>
      <c r="D1058" s="252">
        <v>10</v>
      </c>
      <c r="E1058" s="252" t="s">
        <v>247</v>
      </c>
      <c r="F1058" s="252"/>
      <c r="G1058" s="256"/>
      <c r="H1058" s="256"/>
      <c r="I1058" s="257" t="e">
        <f>#REF!+G1058</f>
        <v>#REF!</v>
      </c>
      <c r="J1058" s="257" t="e">
        <f t="shared" si="551"/>
        <v>#REF!</v>
      </c>
      <c r="K1058" s="257" t="e">
        <f t="shared" si="553"/>
        <v>#REF!</v>
      </c>
      <c r="L1058" s="257" t="e">
        <f t="shared" si="553"/>
        <v>#REF!</v>
      </c>
      <c r="M1058" s="257"/>
      <c r="N1058" s="257" t="e">
        <f t="shared" si="552"/>
        <v>#REF!</v>
      </c>
    </row>
    <row r="1059" spans="1:14" ht="25.5" hidden="1" customHeight="1" x14ac:dyDescent="0.2">
      <c r="A1059" s="259" t="s">
        <v>239</v>
      </c>
      <c r="B1059" s="271">
        <v>811</v>
      </c>
      <c r="C1059" s="252" t="s">
        <v>194</v>
      </c>
      <c r="D1059" s="252">
        <v>10</v>
      </c>
      <c r="E1059" s="252" t="s">
        <v>247</v>
      </c>
      <c r="F1059" s="252" t="s">
        <v>240</v>
      </c>
      <c r="G1059" s="256"/>
      <c r="H1059" s="256"/>
      <c r="I1059" s="257" t="e">
        <f>#REF!+G1059</f>
        <v>#REF!</v>
      </c>
      <c r="J1059" s="257" t="e">
        <f t="shared" si="551"/>
        <v>#REF!</v>
      </c>
      <c r="K1059" s="257" t="e">
        <f t="shared" si="553"/>
        <v>#REF!</v>
      </c>
      <c r="L1059" s="257" t="e">
        <f t="shared" si="553"/>
        <v>#REF!</v>
      </c>
      <c r="M1059" s="257"/>
      <c r="N1059" s="257" t="e">
        <f t="shared" si="552"/>
        <v>#REF!</v>
      </c>
    </row>
    <row r="1060" spans="1:14" ht="25.5" hidden="1" customHeight="1" x14ac:dyDescent="0.2">
      <c r="A1060" s="259" t="s">
        <v>45</v>
      </c>
      <c r="B1060" s="271">
        <v>811</v>
      </c>
      <c r="C1060" s="252" t="s">
        <v>194</v>
      </c>
      <c r="D1060" s="252">
        <v>10</v>
      </c>
      <c r="E1060" s="252" t="s">
        <v>46</v>
      </c>
      <c r="F1060" s="252"/>
      <c r="G1060" s="256"/>
      <c r="H1060" s="256"/>
      <c r="I1060" s="257" t="e">
        <f>#REF!+G1060</f>
        <v>#REF!</v>
      </c>
      <c r="J1060" s="257" t="e">
        <f t="shared" si="551"/>
        <v>#REF!</v>
      </c>
      <c r="K1060" s="257" t="e">
        <f t="shared" si="553"/>
        <v>#REF!</v>
      </c>
      <c r="L1060" s="257" t="e">
        <f t="shared" si="553"/>
        <v>#REF!</v>
      </c>
      <c r="M1060" s="257"/>
      <c r="N1060" s="257" t="e">
        <f t="shared" si="552"/>
        <v>#REF!</v>
      </c>
    </row>
    <row r="1061" spans="1:14" ht="12.75" hidden="1" customHeight="1" x14ac:dyDescent="0.2">
      <c r="A1061" s="259" t="s">
        <v>299</v>
      </c>
      <c r="B1061" s="271">
        <v>811</v>
      </c>
      <c r="C1061" s="252" t="s">
        <v>194</v>
      </c>
      <c r="D1061" s="252">
        <v>10</v>
      </c>
      <c r="E1061" s="252" t="s">
        <v>47</v>
      </c>
      <c r="F1061" s="252"/>
      <c r="G1061" s="256"/>
      <c r="H1061" s="256"/>
      <c r="I1061" s="257" t="e">
        <f>#REF!+G1061</f>
        <v>#REF!</v>
      </c>
      <c r="J1061" s="257" t="e">
        <f t="shared" si="551"/>
        <v>#REF!</v>
      </c>
      <c r="K1061" s="257" t="e">
        <f t="shared" si="553"/>
        <v>#REF!</v>
      </c>
      <c r="L1061" s="257" t="e">
        <f t="shared" si="553"/>
        <v>#REF!</v>
      </c>
      <c r="M1061" s="257"/>
      <c r="N1061" s="257" t="e">
        <f t="shared" si="552"/>
        <v>#REF!</v>
      </c>
    </row>
    <row r="1062" spans="1:14" ht="12.75" hidden="1" customHeight="1" x14ac:dyDescent="0.2">
      <c r="A1062" s="259" t="s">
        <v>300</v>
      </c>
      <c r="B1062" s="271">
        <v>811</v>
      </c>
      <c r="C1062" s="252" t="s">
        <v>194</v>
      </c>
      <c r="D1062" s="252">
        <v>10</v>
      </c>
      <c r="E1062" s="252" t="s">
        <v>47</v>
      </c>
      <c r="F1062" s="252" t="s">
        <v>301</v>
      </c>
      <c r="G1062" s="256"/>
      <c r="H1062" s="256"/>
      <c r="I1062" s="257" t="e">
        <f>#REF!+G1062</f>
        <v>#REF!</v>
      </c>
      <c r="J1062" s="257" t="e">
        <f t="shared" si="551"/>
        <v>#REF!</v>
      </c>
      <c r="K1062" s="257" t="e">
        <f t="shared" si="553"/>
        <v>#REF!</v>
      </c>
      <c r="L1062" s="257" t="e">
        <f t="shared" si="553"/>
        <v>#REF!</v>
      </c>
      <c r="M1062" s="257"/>
      <c r="N1062" s="257" t="e">
        <f t="shared" si="552"/>
        <v>#REF!</v>
      </c>
    </row>
    <row r="1063" spans="1:14" ht="12.75" hidden="1" customHeight="1" x14ac:dyDescent="0.2">
      <c r="A1063" s="259" t="s">
        <v>324</v>
      </c>
      <c r="B1063" s="271">
        <v>811</v>
      </c>
      <c r="C1063" s="252" t="s">
        <v>194</v>
      </c>
      <c r="D1063" s="252">
        <v>10</v>
      </c>
      <c r="E1063" s="252" t="s">
        <v>325</v>
      </c>
      <c r="F1063" s="252"/>
      <c r="G1063" s="256"/>
      <c r="H1063" s="256"/>
      <c r="I1063" s="257" t="e">
        <f>#REF!+G1063</f>
        <v>#REF!</v>
      </c>
      <c r="J1063" s="257" t="e">
        <f t="shared" si="551"/>
        <v>#REF!</v>
      </c>
      <c r="K1063" s="257" t="e">
        <f t="shared" si="553"/>
        <v>#REF!</v>
      </c>
      <c r="L1063" s="257" t="e">
        <f t="shared" si="553"/>
        <v>#REF!</v>
      </c>
      <c r="M1063" s="257"/>
      <c r="N1063" s="257" t="e">
        <f t="shared" si="552"/>
        <v>#REF!</v>
      </c>
    </row>
    <row r="1064" spans="1:14" ht="25.5" hidden="1" customHeight="1" x14ac:dyDescent="0.2">
      <c r="A1064" s="398" t="s">
        <v>48</v>
      </c>
      <c r="B1064" s="249">
        <v>811</v>
      </c>
      <c r="C1064" s="250" t="s">
        <v>194</v>
      </c>
      <c r="D1064" s="250" t="s">
        <v>208</v>
      </c>
      <c r="E1064" s="252"/>
      <c r="F1064" s="252"/>
      <c r="G1064" s="256"/>
      <c r="H1064" s="256"/>
      <c r="I1064" s="257" t="e">
        <f>#REF!+G1064</f>
        <v>#REF!</v>
      </c>
      <c r="J1064" s="257" t="e">
        <f t="shared" si="551"/>
        <v>#REF!</v>
      </c>
      <c r="K1064" s="257" t="e">
        <f t="shared" si="553"/>
        <v>#REF!</v>
      </c>
      <c r="L1064" s="257" t="e">
        <f t="shared" si="553"/>
        <v>#REF!</v>
      </c>
      <c r="M1064" s="257"/>
      <c r="N1064" s="257" t="e">
        <f t="shared" si="552"/>
        <v>#REF!</v>
      </c>
    </row>
    <row r="1065" spans="1:14" ht="25.5" hidden="1" customHeight="1" x14ac:dyDescent="0.2">
      <c r="A1065" s="259" t="s">
        <v>45</v>
      </c>
      <c r="B1065" s="271">
        <v>811</v>
      </c>
      <c r="C1065" s="252" t="s">
        <v>194</v>
      </c>
      <c r="D1065" s="252" t="s">
        <v>208</v>
      </c>
      <c r="E1065" s="252" t="s">
        <v>46</v>
      </c>
      <c r="F1065" s="252"/>
      <c r="G1065" s="256"/>
      <c r="H1065" s="256"/>
      <c r="I1065" s="257" t="e">
        <f>#REF!+G1065</f>
        <v>#REF!</v>
      </c>
      <c r="J1065" s="257" t="e">
        <f t="shared" si="551"/>
        <v>#REF!</v>
      </c>
      <c r="K1065" s="257" t="e">
        <f t="shared" si="553"/>
        <v>#REF!</v>
      </c>
      <c r="L1065" s="257" t="e">
        <f t="shared" si="553"/>
        <v>#REF!</v>
      </c>
      <c r="M1065" s="257"/>
      <c r="N1065" s="257" t="e">
        <f t="shared" si="552"/>
        <v>#REF!</v>
      </c>
    </row>
    <row r="1066" spans="1:14" ht="12.75" hidden="1" customHeight="1" x14ac:dyDescent="0.2">
      <c r="A1066" s="259" t="s">
        <v>299</v>
      </c>
      <c r="B1066" s="271">
        <v>811</v>
      </c>
      <c r="C1066" s="252" t="s">
        <v>194</v>
      </c>
      <c r="D1066" s="252" t="s">
        <v>208</v>
      </c>
      <c r="E1066" s="252" t="s">
        <v>47</v>
      </c>
      <c r="F1066" s="252"/>
      <c r="G1066" s="256"/>
      <c r="H1066" s="256"/>
      <c r="I1066" s="257" t="e">
        <f>#REF!+G1066</f>
        <v>#REF!</v>
      </c>
      <c r="J1066" s="257" t="e">
        <f t="shared" si="551"/>
        <v>#REF!</v>
      </c>
      <c r="K1066" s="257" t="e">
        <f t="shared" si="553"/>
        <v>#REF!</v>
      </c>
      <c r="L1066" s="257" t="e">
        <f t="shared" si="553"/>
        <v>#REF!</v>
      </c>
      <c r="M1066" s="257"/>
      <c r="N1066" s="257" t="e">
        <f t="shared" si="552"/>
        <v>#REF!</v>
      </c>
    </row>
    <row r="1067" spans="1:14" ht="12.75" hidden="1" customHeight="1" x14ac:dyDescent="0.2">
      <c r="A1067" s="259" t="s">
        <v>300</v>
      </c>
      <c r="B1067" s="271">
        <v>811</v>
      </c>
      <c r="C1067" s="252" t="s">
        <v>194</v>
      </c>
      <c r="D1067" s="252" t="s">
        <v>208</v>
      </c>
      <c r="E1067" s="252" t="s">
        <v>47</v>
      </c>
      <c r="F1067" s="252" t="s">
        <v>301</v>
      </c>
      <c r="G1067" s="256"/>
      <c r="H1067" s="256"/>
      <c r="I1067" s="257" t="e">
        <f>#REF!+G1067</f>
        <v>#REF!</v>
      </c>
      <c r="J1067" s="257" t="e">
        <f t="shared" si="551"/>
        <v>#REF!</v>
      </c>
      <c r="K1067" s="257" t="e">
        <f t="shared" si="553"/>
        <v>#REF!</v>
      </c>
      <c r="L1067" s="257" t="e">
        <f t="shared" si="553"/>
        <v>#REF!</v>
      </c>
      <c r="M1067" s="257"/>
      <c r="N1067" s="257" t="e">
        <f t="shared" si="552"/>
        <v>#REF!</v>
      </c>
    </row>
    <row r="1068" spans="1:14" ht="12.75" hidden="1" customHeight="1" x14ac:dyDescent="0.2">
      <c r="A1068" s="259" t="s">
        <v>302</v>
      </c>
      <c r="B1068" s="271">
        <v>811</v>
      </c>
      <c r="C1068" s="252" t="s">
        <v>194</v>
      </c>
      <c r="D1068" s="252" t="s">
        <v>208</v>
      </c>
      <c r="E1068" s="252" t="s">
        <v>47</v>
      </c>
      <c r="F1068" s="252" t="s">
        <v>303</v>
      </c>
      <c r="G1068" s="256"/>
      <c r="H1068" s="256"/>
      <c r="I1068" s="257" t="e">
        <f>#REF!+G1068</f>
        <v>#REF!</v>
      </c>
      <c r="J1068" s="257" t="e">
        <f t="shared" si="551"/>
        <v>#REF!</v>
      </c>
      <c r="K1068" s="257" t="e">
        <f t="shared" si="553"/>
        <v>#REF!</v>
      </c>
      <c r="L1068" s="257" t="e">
        <f t="shared" si="553"/>
        <v>#REF!</v>
      </c>
      <c r="M1068" s="257"/>
      <c r="N1068" s="257" t="e">
        <f t="shared" si="552"/>
        <v>#REF!</v>
      </c>
    </row>
    <row r="1069" spans="1:14" ht="25.5" hidden="1" customHeight="1" x14ac:dyDescent="0.2">
      <c r="A1069" s="398" t="s">
        <v>229</v>
      </c>
      <c r="B1069" s="249">
        <v>811</v>
      </c>
      <c r="C1069" s="250" t="s">
        <v>202</v>
      </c>
      <c r="D1069" s="250" t="s">
        <v>198</v>
      </c>
      <c r="E1069" s="250"/>
      <c r="F1069" s="250"/>
      <c r="G1069" s="256"/>
      <c r="H1069" s="256"/>
      <c r="I1069" s="257" t="e">
        <f>#REF!+G1069</f>
        <v>#REF!</v>
      </c>
      <c r="J1069" s="257" t="e">
        <f t="shared" si="551"/>
        <v>#REF!</v>
      </c>
      <c r="K1069" s="257" t="e">
        <f t="shared" si="553"/>
        <v>#REF!</v>
      </c>
      <c r="L1069" s="257" t="e">
        <f t="shared" si="553"/>
        <v>#REF!</v>
      </c>
      <c r="M1069" s="257"/>
      <c r="N1069" s="257" t="e">
        <f t="shared" si="552"/>
        <v>#REF!</v>
      </c>
    </row>
    <row r="1070" spans="1:14" ht="12.75" hidden="1" customHeight="1" x14ac:dyDescent="0.2">
      <c r="A1070" s="259" t="s">
        <v>358</v>
      </c>
      <c r="B1070" s="271">
        <v>811</v>
      </c>
      <c r="C1070" s="252" t="s">
        <v>202</v>
      </c>
      <c r="D1070" s="252" t="s">
        <v>198</v>
      </c>
      <c r="E1070" s="252" t="s">
        <v>359</v>
      </c>
      <c r="F1070" s="252"/>
      <c r="G1070" s="256"/>
      <c r="H1070" s="256"/>
      <c r="I1070" s="257" t="e">
        <f>#REF!+G1070</f>
        <v>#REF!</v>
      </c>
      <c r="J1070" s="257" t="e">
        <f t="shared" si="551"/>
        <v>#REF!</v>
      </c>
      <c r="K1070" s="257" t="e">
        <f t="shared" si="553"/>
        <v>#REF!</v>
      </c>
      <c r="L1070" s="257" t="e">
        <f t="shared" si="553"/>
        <v>#REF!</v>
      </c>
      <c r="M1070" s="257"/>
      <c r="N1070" s="257" t="e">
        <f t="shared" si="552"/>
        <v>#REF!</v>
      </c>
    </row>
    <row r="1071" spans="1:14" ht="12.75" hidden="1" customHeight="1" x14ac:dyDescent="0.2">
      <c r="A1071" s="259" t="s">
        <v>360</v>
      </c>
      <c r="B1071" s="271">
        <v>811</v>
      </c>
      <c r="C1071" s="252" t="s">
        <v>202</v>
      </c>
      <c r="D1071" s="252" t="s">
        <v>198</v>
      </c>
      <c r="E1071" s="252" t="s">
        <v>361</v>
      </c>
      <c r="F1071" s="252"/>
      <c r="G1071" s="256"/>
      <c r="H1071" s="256"/>
      <c r="I1071" s="257" t="e">
        <f>#REF!+G1071</f>
        <v>#REF!</v>
      </c>
      <c r="J1071" s="257" t="e">
        <f t="shared" si="551"/>
        <v>#REF!</v>
      </c>
      <c r="K1071" s="257" t="e">
        <f t="shared" si="553"/>
        <v>#REF!</v>
      </c>
      <c r="L1071" s="257" t="e">
        <f t="shared" si="553"/>
        <v>#REF!</v>
      </c>
      <c r="M1071" s="257"/>
      <c r="N1071" s="257" t="e">
        <f t="shared" si="552"/>
        <v>#REF!</v>
      </c>
    </row>
    <row r="1072" spans="1:14" ht="12.75" hidden="1" customHeight="1" x14ac:dyDescent="0.2">
      <c r="A1072" s="259" t="s">
        <v>300</v>
      </c>
      <c r="B1072" s="271">
        <v>811</v>
      </c>
      <c r="C1072" s="252" t="s">
        <v>202</v>
      </c>
      <c r="D1072" s="252" t="s">
        <v>198</v>
      </c>
      <c r="E1072" s="252" t="s">
        <v>361</v>
      </c>
      <c r="F1072" s="252" t="s">
        <v>301</v>
      </c>
      <c r="G1072" s="256"/>
      <c r="H1072" s="256"/>
      <c r="I1072" s="257" t="e">
        <f>#REF!+G1072</f>
        <v>#REF!</v>
      </c>
      <c r="J1072" s="257" t="e">
        <f t="shared" si="551"/>
        <v>#REF!</v>
      </c>
      <c r="K1072" s="257" t="e">
        <f t="shared" si="553"/>
        <v>#REF!</v>
      </c>
      <c r="L1072" s="257" t="e">
        <f t="shared" si="553"/>
        <v>#REF!</v>
      </c>
      <c r="M1072" s="257"/>
      <c r="N1072" s="257" t="e">
        <f t="shared" si="552"/>
        <v>#REF!</v>
      </c>
    </row>
    <row r="1073" spans="1:14" ht="12.75" hidden="1" customHeight="1" x14ac:dyDescent="0.2">
      <c r="A1073" s="525" t="s">
        <v>49</v>
      </c>
      <c r="B1073" s="526"/>
      <c r="C1073" s="526"/>
      <c r="D1073" s="526"/>
      <c r="E1073" s="526"/>
      <c r="F1073" s="526"/>
      <c r="G1073" s="256"/>
      <c r="H1073" s="256"/>
      <c r="I1073" s="257" t="e">
        <f>#REF!+G1073</f>
        <v>#REF!</v>
      </c>
      <c r="J1073" s="257" t="e">
        <f t="shared" si="551"/>
        <v>#REF!</v>
      </c>
      <c r="K1073" s="257" t="e">
        <f t="shared" si="553"/>
        <v>#REF!</v>
      </c>
      <c r="L1073" s="257" t="e">
        <f t="shared" si="553"/>
        <v>#REF!</v>
      </c>
      <c r="M1073" s="257"/>
      <c r="N1073" s="257" t="e">
        <f t="shared" ref="N1073:N1104" si="554">J1073+K1073</f>
        <v>#REF!</v>
      </c>
    </row>
    <row r="1074" spans="1:14" ht="12.75" hidden="1" customHeight="1" x14ac:dyDescent="0.2">
      <c r="A1074" s="398" t="s">
        <v>306</v>
      </c>
      <c r="B1074" s="250" t="s">
        <v>50</v>
      </c>
      <c r="C1074" s="250" t="s">
        <v>196</v>
      </c>
      <c r="D1074" s="250"/>
      <c r="E1074" s="250"/>
      <c r="F1074" s="250"/>
      <c r="G1074" s="256"/>
      <c r="H1074" s="256"/>
      <c r="I1074" s="257" t="e">
        <f>#REF!+G1074</f>
        <v>#REF!</v>
      </c>
      <c r="J1074" s="257" t="e">
        <f t="shared" si="551"/>
        <v>#REF!</v>
      </c>
      <c r="K1074" s="257" t="e">
        <f t="shared" si="553"/>
        <v>#REF!</v>
      </c>
      <c r="L1074" s="257" t="e">
        <f t="shared" si="553"/>
        <v>#REF!</v>
      </c>
      <c r="M1074" s="257"/>
      <c r="N1074" s="257" t="e">
        <f t="shared" si="554"/>
        <v>#REF!</v>
      </c>
    </row>
    <row r="1075" spans="1:14" ht="12.75" hidden="1" customHeight="1" x14ac:dyDescent="0.2">
      <c r="A1075" s="398" t="s">
        <v>216</v>
      </c>
      <c r="B1075" s="250" t="s">
        <v>50</v>
      </c>
      <c r="C1075" s="250" t="s">
        <v>196</v>
      </c>
      <c r="D1075" s="250" t="s">
        <v>190</v>
      </c>
      <c r="E1075" s="250"/>
      <c r="F1075" s="250"/>
      <c r="G1075" s="256"/>
      <c r="H1075" s="256"/>
      <c r="I1075" s="257" t="e">
        <f>#REF!+G1075</f>
        <v>#REF!</v>
      </c>
      <c r="J1075" s="257" t="e">
        <f t="shared" si="551"/>
        <v>#REF!</v>
      </c>
      <c r="K1075" s="257" t="e">
        <f t="shared" si="553"/>
        <v>#REF!</v>
      </c>
      <c r="L1075" s="257" t="e">
        <f t="shared" si="553"/>
        <v>#REF!</v>
      </c>
      <c r="M1075" s="257"/>
      <c r="N1075" s="257" t="e">
        <f t="shared" si="554"/>
        <v>#REF!</v>
      </c>
    </row>
    <row r="1076" spans="1:14" ht="38.25" hidden="1" customHeight="1" x14ac:dyDescent="0.2">
      <c r="A1076" s="259" t="s">
        <v>123</v>
      </c>
      <c r="B1076" s="252" t="s">
        <v>50</v>
      </c>
      <c r="C1076" s="252" t="s">
        <v>196</v>
      </c>
      <c r="D1076" s="252" t="s">
        <v>190</v>
      </c>
      <c r="E1076" s="260" t="s">
        <v>332</v>
      </c>
      <c r="F1076" s="250"/>
      <c r="G1076" s="256"/>
      <c r="H1076" s="256"/>
      <c r="I1076" s="257" t="e">
        <f>#REF!+G1076</f>
        <v>#REF!</v>
      </c>
      <c r="J1076" s="257" t="e">
        <f t="shared" si="551"/>
        <v>#REF!</v>
      </c>
      <c r="K1076" s="257" t="e">
        <f t="shared" si="553"/>
        <v>#REF!</v>
      </c>
      <c r="L1076" s="257" t="e">
        <f t="shared" si="553"/>
        <v>#REF!</v>
      </c>
      <c r="M1076" s="257"/>
      <c r="N1076" s="257" t="e">
        <f t="shared" si="554"/>
        <v>#REF!</v>
      </c>
    </row>
    <row r="1077" spans="1:14" ht="12.75" hidden="1" customHeight="1" x14ac:dyDescent="0.2">
      <c r="A1077" s="259" t="s">
        <v>333</v>
      </c>
      <c r="B1077" s="252" t="s">
        <v>50</v>
      </c>
      <c r="C1077" s="252" t="s">
        <v>196</v>
      </c>
      <c r="D1077" s="252" t="s">
        <v>190</v>
      </c>
      <c r="E1077" s="260" t="s">
        <v>334</v>
      </c>
      <c r="F1077" s="250"/>
      <c r="G1077" s="256"/>
      <c r="H1077" s="256"/>
      <c r="I1077" s="257" t="e">
        <f>#REF!+G1077</f>
        <v>#REF!</v>
      </c>
      <c r="J1077" s="257" t="e">
        <f t="shared" si="551"/>
        <v>#REF!</v>
      </c>
      <c r="K1077" s="257" t="e">
        <f t="shared" si="553"/>
        <v>#REF!</v>
      </c>
      <c r="L1077" s="257" t="e">
        <f t="shared" si="553"/>
        <v>#REF!</v>
      </c>
      <c r="M1077" s="257"/>
      <c r="N1077" s="257" t="e">
        <f t="shared" si="554"/>
        <v>#REF!</v>
      </c>
    </row>
    <row r="1078" spans="1:14" ht="12.75" hidden="1" customHeight="1" x14ac:dyDescent="0.2">
      <c r="A1078" s="259" t="s">
        <v>320</v>
      </c>
      <c r="B1078" s="252" t="s">
        <v>50</v>
      </c>
      <c r="C1078" s="252" t="s">
        <v>196</v>
      </c>
      <c r="D1078" s="252" t="s">
        <v>190</v>
      </c>
      <c r="E1078" s="260" t="s">
        <v>334</v>
      </c>
      <c r="F1078" s="252" t="s">
        <v>321</v>
      </c>
      <c r="G1078" s="256"/>
      <c r="H1078" s="256"/>
      <c r="I1078" s="257" t="e">
        <f>#REF!+G1078</f>
        <v>#REF!</v>
      </c>
      <c r="J1078" s="257" t="e">
        <f t="shared" si="551"/>
        <v>#REF!</v>
      </c>
      <c r="K1078" s="257" t="e">
        <f t="shared" si="553"/>
        <v>#REF!</v>
      </c>
      <c r="L1078" s="257" t="e">
        <f t="shared" si="553"/>
        <v>#REF!</v>
      </c>
      <c r="M1078" s="257"/>
      <c r="N1078" s="257" t="e">
        <f t="shared" si="554"/>
        <v>#REF!</v>
      </c>
    </row>
    <row r="1079" spans="1:14" ht="12.75" hidden="1" customHeight="1" x14ac:dyDescent="0.2">
      <c r="A1079" s="259" t="s">
        <v>344</v>
      </c>
      <c r="B1079" s="252" t="s">
        <v>50</v>
      </c>
      <c r="C1079" s="252" t="s">
        <v>196</v>
      </c>
      <c r="D1079" s="252" t="s">
        <v>190</v>
      </c>
      <c r="E1079" s="252" t="s">
        <v>51</v>
      </c>
      <c r="F1079" s="252"/>
      <c r="G1079" s="256"/>
      <c r="H1079" s="256"/>
      <c r="I1079" s="257" t="e">
        <f>#REF!+G1079</f>
        <v>#REF!</v>
      </c>
      <c r="J1079" s="257" t="e">
        <f t="shared" si="551"/>
        <v>#REF!</v>
      </c>
      <c r="K1079" s="257" t="e">
        <f t="shared" si="553"/>
        <v>#REF!</v>
      </c>
      <c r="L1079" s="257" t="e">
        <f t="shared" si="553"/>
        <v>#REF!</v>
      </c>
      <c r="M1079" s="257"/>
      <c r="N1079" s="257" t="e">
        <f t="shared" si="554"/>
        <v>#REF!</v>
      </c>
    </row>
    <row r="1080" spans="1:14" ht="38.25" hidden="1" customHeight="1" x14ac:dyDescent="0.2">
      <c r="A1080" s="259" t="s">
        <v>52</v>
      </c>
      <c r="B1080" s="252" t="s">
        <v>50</v>
      </c>
      <c r="C1080" s="252" t="s">
        <v>196</v>
      </c>
      <c r="D1080" s="252" t="s">
        <v>190</v>
      </c>
      <c r="E1080" s="252" t="s">
        <v>53</v>
      </c>
      <c r="F1080" s="252"/>
      <c r="G1080" s="256"/>
      <c r="H1080" s="256"/>
      <c r="I1080" s="257" t="e">
        <f>#REF!+G1080</f>
        <v>#REF!</v>
      </c>
      <c r="J1080" s="257" t="e">
        <f t="shared" si="551"/>
        <v>#REF!</v>
      </c>
      <c r="K1080" s="257" t="e">
        <f t="shared" si="553"/>
        <v>#REF!</v>
      </c>
      <c r="L1080" s="257" t="e">
        <f t="shared" si="553"/>
        <v>#REF!</v>
      </c>
      <c r="M1080" s="257"/>
      <c r="N1080" s="257" t="e">
        <f t="shared" si="554"/>
        <v>#REF!</v>
      </c>
    </row>
    <row r="1081" spans="1:14" ht="12.75" hidden="1" customHeight="1" x14ac:dyDescent="0.2">
      <c r="A1081" s="259" t="s">
        <v>300</v>
      </c>
      <c r="B1081" s="252" t="s">
        <v>50</v>
      </c>
      <c r="C1081" s="252" t="s">
        <v>196</v>
      </c>
      <c r="D1081" s="252" t="s">
        <v>190</v>
      </c>
      <c r="E1081" s="252" t="s">
        <v>53</v>
      </c>
      <c r="F1081" s="252" t="s">
        <v>301</v>
      </c>
      <c r="G1081" s="256"/>
      <c r="H1081" s="256"/>
      <c r="I1081" s="257" t="e">
        <f>#REF!+G1081</f>
        <v>#REF!</v>
      </c>
      <c r="J1081" s="257" t="e">
        <f t="shared" si="551"/>
        <v>#REF!</v>
      </c>
      <c r="K1081" s="257" t="e">
        <f t="shared" si="553"/>
        <v>#REF!</v>
      </c>
      <c r="L1081" s="257" t="e">
        <f t="shared" si="553"/>
        <v>#REF!</v>
      </c>
      <c r="M1081" s="257"/>
      <c r="N1081" s="257" t="e">
        <f t="shared" si="554"/>
        <v>#REF!</v>
      </c>
    </row>
    <row r="1082" spans="1:14" ht="12.75" hidden="1" customHeight="1" x14ac:dyDescent="0.2">
      <c r="A1082" s="398" t="s">
        <v>65</v>
      </c>
      <c r="B1082" s="250" t="s">
        <v>50</v>
      </c>
      <c r="C1082" s="250" t="s">
        <v>214</v>
      </c>
      <c r="D1082" s="250"/>
      <c r="E1082" s="252"/>
      <c r="F1082" s="252"/>
      <c r="G1082" s="256"/>
      <c r="H1082" s="256"/>
      <c r="I1082" s="257" t="e">
        <f>#REF!+G1082</f>
        <v>#REF!</v>
      </c>
      <c r="J1082" s="257" t="e">
        <f t="shared" si="551"/>
        <v>#REF!</v>
      </c>
      <c r="K1082" s="257" t="e">
        <f t="shared" si="553"/>
        <v>#REF!</v>
      </c>
      <c r="L1082" s="257" t="e">
        <f t="shared" si="553"/>
        <v>#REF!</v>
      </c>
      <c r="M1082" s="257"/>
      <c r="N1082" s="257" t="e">
        <f t="shared" si="554"/>
        <v>#REF!</v>
      </c>
    </row>
    <row r="1083" spans="1:14" ht="12.75" hidden="1" customHeight="1" x14ac:dyDescent="0.2">
      <c r="A1083" s="398" t="s">
        <v>277</v>
      </c>
      <c r="B1083" s="250" t="s">
        <v>50</v>
      </c>
      <c r="C1083" s="250" t="s">
        <v>214</v>
      </c>
      <c r="D1083" s="250" t="s">
        <v>194</v>
      </c>
      <c r="E1083" s="252"/>
      <c r="F1083" s="252"/>
      <c r="G1083" s="256"/>
      <c r="H1083" s="256"/>
      <c r="I1083" s="257" t="e">
        <f>#REF!+G1083</f>
        <v>#REF!</v>
      </c>
      <c r="J1083" s="257" t="e">
        <f t="shared" si="551"/>
        <v>#REF!</v>
      </c>
      <c r="K1083" s="257" t="e">
        <f t="shared" si="553"/>
        <v>#REF!</v>
      </c>
      <c r="L1083" s="257" t="e">
        <f t="shared" si="553"/>
        <v>#REF!</v>
      </c>
      <c r="M1083" s="257"/>
      <c r="N1083" s="257" t="e">
        <f t="shared" si="554"/>
        <v>#REF!</v>
      </c>
    </row>
    <row r="1084" spans="1:14" ht="12.75" hidden="1" customHeight="1" x14ac:dyDescent="0.2">
      <c r="A1084" s="259" t="s">
        <v>344</v>
      </c>
      <c r="B1084" s="252" t="s">
        <v>50</v>
      </c>
      <c r="C1084" s="252" t="s">
        <v>214</v>
      </c>
      <c r="D1084" s="252" t="s">
        <v>194</v>
      </c>
      <c r="E1084" s="380" t="s">
        <v>51</v>
      </c>
      <c r="F1084" s="252"/>
      <c r="G1084" s="256"/>
      <c r="H1084" s="256"/>
      <c r="I1084" s="257" t="e">
        <f>#REF!+G1084</f>
        <v>#REF!</v>
      </c>
      <c r="J1084" s="257" t="e">
        <f t="shared" si="551"/>
        <v>#REF!</v>
      </c>
      <c r="K1084" s="257" t="e">
        <f t="shared" si="553"/>
        <v>#REF!</v>
      </c>
      <c r="L1084" s="257" t="e">
        <f t="shared" si="553"/>
        <v>#REF!</v>
      </c>
      <c r="M1084" s="257"/>
      <c r="N1084" s="257" t="e">
        <f t="shared" si="554"/>
        <v>#REF!</v>
      </c>
    </row>
    <row r="1085" spans="1:14" ht="38.25" hidden="1" customHeight="1" x14ac:dyDescent="0.2">
      <c r="A1085" s="259" t="s">
        <v>54</v>
      </c>
      <c r="B1085" s="252" t="s">
        <v>50</v>
      </c>
      <c r="C1085" s="252" t="s">
        <v>214</v>
      </c>
      <c r="D1085" s="252" t="s">
        <v>194</v>
      </c>
      <c r="E1085" s="252" t="s">
        <v>53</v>
      </c>
      <c r="F1085" s="252"/>
      <c r="G1085" s="256"/>
      <c r="H1085" s="256"/>
      <c r="I1085" s="257" t="e">
        <f>#REF!+G1085</f>
        <v>#REF!</v>
      </c>
      <c r="J1085" s="257" t="e">
        <f t="shared" si="551"/>
        <v>#REF!</v>
      </c>
      <c r="K1085" s="257" t="e">
        <f t="shared" si="553"/>
        <v>#REF!</v>
      </c>
      <c r="L1085" s="257" t="e">
        <f t="shared" si="553"/>
        <v>#REF!</v>
      </c>
      <c r="M1085" s="257"/>
      <c r="N1085" s="257" t="e">
        <f t="shared" si="554"/>
        <v>#REF!</v>
      </c>
    </row>
    <row r="1086" spans="1:14" ht="12.75" hidden="1" customHeight="1" x14ac:dyDescent="0.2">
      <c r="A1086" s="259" t="s">
        <v>68</v>
      </c>
      <c r="B1086" s="252" t="s">
        <v>50</v>
      </c>
      <c r="C1086" s="252" t="s">
        <v>214</v>
      </c>
      <c r="D1086" s="252" t="s">
        <v>194</v>
      </c>
      <c r="E1086" s="252" t="s">
        <v>53</v>
      </c>
      <c r="F1086" s="252" t="s">
        <v>69</v>
      </c>
      <c r="G1086" s="256"/>
      <c r="H1086" s="256"/>
      <c r="I1086" s="257" t="e">
        <f>#REF!+G1086</f>
        <v>#REF!</v>
      </c>
      <c r="J1086" s="257" t="e">
        <f t="shared" si="551"/>
        <v>#REF!</v>
      </c>
      <c r="K1086" s="257" t="e">
        <f t="shared" si="553"/>
        <v>#REF!</v>
      </c>
      <c r="L1086" s="257" t="e">
        <f t="shared" si="553"/>
        <v>#REF!</v>
      </c>
      <c r="M1086" s="257"/>
      <c r="N1086" s="257" t="e">
        <f t="shared" si="554"/>
        <v>#REF!</v>
      </c>
    </row>
    <row r="1087" spans="1:14" ht="12.75" hidden="1" customHeight="1" x14ac:dyDescent="0.2">
      <c r="A1087" s="525" t="s">
        <v>55</v>
      </c>
      <c r="B1087" s="526"/>
      <c r="C1087" s="526"/>
      <c r="D1087" s="526"/>
      <c r="E1087" s="526"/>
      <c r="F1087" s="526"/>
      <c r="G1087" s="256"/>
      <c r="H1087" s="256"/>
      <c r="I1087" s="257" t="e">
        <f>#REF!+G1087</f>
        <v>#REF!</v>
      </c>
      <c r="J1087" s="257" t="e">
        <f t="shared" si="551"/>
        <v>#REF!</v>
      </c>
      <c r="K1087" s="257" t="e">
        <f t="shared" si="553"/>
        <v>#REF!</v>
      </c>
      <c r="L1087" s="257" t="e">
        <f t="shared" si="553"/>
        <v>#REF!</v>
      </c>
      <c r="M1087" s="257"/>
      <c r="N1087" s="257" t="e">
        <f t="shared" si="554"/>
        <v>#REF!</v>
      </c>
    </row>
    <row r="1088" spans="1:14" ht="12.75" hidden="1" customHeight="1" x14ac:dyDescent="0.2">
      <c r="A1088" s="398" t="s">
        <v>306</v>
      </c>
      <c r="B1088" s="249">
        <v>813</v>
      </c>
      <c r="C1088" s="365" t="s">
        <v>196</v>
      </c>
      <c r="D1088" s="365"/>
      <c r="E1088" s="365"/>
      <c r="F1088" s="365"/>
      <c r="G1088" s="256"/>
      <c r="H1088" s="256"/>
      <c r="I1088" s="257" t="e">
        <f>#REF!+G1088</f>
        <v>#REF!</v>
      </c>
      <c r="J1088" s="257" t="e">
        <f t="shared" si="551"/>
        <v>#REF!</v>
      </c>
      <c r="K1088" s="257" t="e">
        <f t="shared" si="553"/>
        <v>#REF!</v>
      </c>
      <c r="L1088" s="257" t="e">
        <f t="shared" si="553"/>
        <v>#REF!</v>
      </c>
      <c r="M1088" s="257"/>
      <c r="N1088" s="257" t="e">
        <f t="shared" si="554"/>
        <v>#REF!</v>
      </c>
    </row>
    <row r="1089" spans="1:14" ht="12.75" hidden="1" customHeight="1" x14ac:dyDescent="0.2">
      <c r="A1089" s="398" t="s">
        <v>220</v>
      </c>
      <c r="B1089" s="249">
        <v>813</v>
      </c>
      <c r="C1089" s="365" t="s">
        <v>196</v>
      </c>
      <c r="D1089" s="365" t="s">
        <v>205</v>
      </c>
      <c r="E1089" s="365"/>
      <c r="F1089" s="365"/>
      <c r="G1089" s="256"/>
      <c r="H1089" s="256"/>
      <c r="I1089" s="257" t="e">
        <f>#REF!+G1089</f>
        <v>#REF!</v>
      </c>
      <c r="J1089" s="257" t="e">
        <f t="shared" si="551"/>
        <v>#REF!</v>
      </c>
      <c r="K1089" s="257" t="e">
        <f t="shared" si="553"/>
        <v>#REF!</v>
      </c>
      <c r="L1089" s="257" t="e">
        <f t="shared" si="553"/>
        <v>#REF!</v>
      </c>
      <c r="M1089" s="257"/>
      <c r="N1089" s="257" t="e">
        <f t="shared" si="554"/>
        <v>#REF!</v>
      </c>
    </row>
    <row r="1090" spans="1:14" ht="38.25" hidden="1" customHeight="1" x14ac:dyDescent="0.2">
      <c r="A1090" s="259" t="s">
        <v>331</v>
      </c>
      <c r="B1090" s="271">
        <v>813</v>
      </c>
      <c r="C1090" s="260" t="s">
        <v>196</v>
      </c>
      <c r="D1090" s="260" t="s">
        <v>205</v>
      </c>
      <c r="E1090" s="260" t="s">
        <v>332</v>
      </c>
      <c r="F1090" s="252"/>
      <c r="G1090" s="256"/>
      <c r="H1090" s="256"/>
      <c r="I1090" s="257" t="e">
        <f>#REF!+G1090</f>
        <v>#REF!</v>
      </c>
      <c r="J1090" s="257" t="e">
        <f t="shared" si="551"/>
        <v>#REF!</v>
      </c>
      <c r="K1090" s="257" t="e">
        <f t="shared" si="553"/>
        <v>#REF!</v>
      </c>
      <c r="L1090" s="257" t="e">
        <f t="shared" si="553"/>
        <v>#REF!</v>
      </c>
      <c r="M1090" s="257"/>
      <c r="N1090" s="257" t="e">
        <f t="shared" si="554"/>
        <v>#REF!</v>
      </c>
    </row>
    <row r="1091" spans="1:14" ht="12.75" hidden="1" customHeight="1" x14ac:dyDescent="0.2">
      <c r="A1091" s="259" t="s">
        <v>333</v>
      </c>
      <c r="B1091" s="271">
        <v>813</v>
      </c>
      <c r="C1091" s="260" t="s">
        <v>196</v>
      </c>
      <c r="D1091" s="260" t="s">
        <v>205</v>
      </c>
      <c r="E1091" s="260" t="s">
        <v>334</v>
      </c>
      <c r="F1091" s="252"/>
      <c r="G1091" s="256"/>
      <c r="H1091" s="256"/>
      <c r="I1091" s="257" t="e">
        <f>#REF!+G1091</f>
        <v>#REF!</v>
      </c>
      <c r="J1091" s="257" t="e">
        <f t="shared" si="551"/>
        <v>#REF!</v>
      </c>
      <c r="K1091" s="257" t="e">
        <f t="shared" si="553"/>
        <v>#REF!</v>
      </c>
      <c r="L1091" s="257" t="e">
        <f t="shared" si="553"/>
        <v>#REF!</v>
      </c>
      <c r="M1091" s="257"/>
      <c r="N1091" s="257" t="e">
        <f t="shared" si="554"/>
        <v>#REF!</v>
      </c>
    </row>
    <row r="1092" spans="1:14" ht="12.75" hidden="1" customHeight="1" x14ac:dyDescent="0.2">
      <c r="A1092" s="259" t="s">
        <v>320</v>
      </c>
      <c r="B1092" s="271">
        <v>813</v>
      </c>
      <c r="C1092" s="260" t="s">
        <v>196</v>
      </c>
      <c r="D1092" s="260" t="s">
        <v>205</v>
      </c>
      <c r="E1092" s="260" t="s">
        <v>334</v>
      </c>
      <c r="F1092" s="252" t="s">
        <v>321</v>
      </c>
      <c r="G1092" s="256"/>
      <c r="H1092" s="256"/>
      <c r="I1092" s="257" t="e">
        <f>#REF!+G1092</f>
        <v>#REF!</v>
      </c>
      <c r="J1092" s="257" t="e">
        <f t="shared" si="551"/>
        <v>#REF!</v>
      </c>
      <c r="K1092" s="257" t="e">
        <f t="shared" si="553"/>
        <v>#REF!</v>
      </c>
      <c r="L1092" s="257" t="e">
        <f t="shared" si="553"/>
        <v>#REF!</v>
      </c>
      <c r="M1092" s="257"/>
      <c r="N1092" s="257" t="e">
        <f t="shared" si="554"/>
        <v>#REF!</v>
      </c>
    </row>
    <row r="1093" spans="1:14" ht="12.75" hidden="1" customHeight="1" x14ac:dyDescent="0.2">
      <c r="A1093" s="259" t="s">
        <v>302</v>
      </c>
      <c r="B1093" s="271">
        <v>813</v>
      </c>
      <c r="C1093" s="260" t="s">
        <v>196</v>
      </c>
      <c r="D1093" s="260" t="s">
        <v>205</v>
      </c>
      <c r="E1093" s="260" t="s">
        <v>334</v>
      </c>
      <c r="F1093" s="252" t="s">
        <v>303</v>
      </c>
      <c r="G1093" s="256"/>
      <c r="H1093" s="256"/>
      <c r="I1093" s="257" t="e">
        <f>#REF!+G1093</f>
        <v>#REF!</v>
      </c>
      <c r="J1093" s="257" t="e">
        <f t="shared" si="551"/>
        <v>#REF!</v>
      </c>
      <c r="K1093" s="257" t="e">
        <f t="shared" si="553"/>
        <v>#REF!</v>
      </c>
      <c r="L1093" s="257" t="e">
        <f t="shared" si="553"/>
        <v>#REF!</v>
      </c>
      <c r="M1093" s="257"/>
      <c r="N1093" s="257" t="e">
        <f t="shared" si="554"/>
        <v>#REF!</v>
      </c>
    </row>
    <row r="1094" spans="1:14" ht="12.75" hidden="1" customHeight="1" x14ac:dyDescent="0.2">
      <c r="A1094" s="259" t="s">
        <v>324</v>
      </c>
      <c r="B1094" s="271">
        <v>813</v>
      </c>
      <c r="C1094" s="260" t="s">
        <v>196</v>
      </c>
      <c r="D1094" s="260" t="s">
        <v>205</v>
      </c>
      <c r="E1094" s="260" t="s">
        <v>325</v>
      </c>
      <c r="F1094" s="260"/>
      <c r="G1094" s="256"/>
      <c r="H1094" s="256"/>
      <c r="I1094" s="257" t="e">
        <f>#REF!+G1094</f>
        <v>#REF!</v>
      </c>
      <c r="J1094" s="257" t="e">
        <f t="shared" si="551"/>
        <v>#REF!</v>
      </c>
      <c r="K1094" s="257" t="e">
        <f t="shared" si="553"/>
        <v>#REF!</v>
      </c>
      <c r="L1094" s="257" t="e">
        <f t="shared" si="553"/>
        <v>#REF!</v>
      </c>
      <c r="M1094" s="257"/>
      <c r="N1094" s="257" t="e">
        <f t="shared" si="554"/>
        <v>#REF!</v>
      </c>
    </row>
    <row r="1095" spans="1:14" ht="12.75" hidden="1" customHeight="1" x14ac:dyDescent="0.2">
      <c r="A1095" s="398" t="s">
        <v>362</v>
      </c>
      <c r="B1095" s="249">
        <v>813</v>
      </c>
      <c r="C1095" s="250" t="s">
        <v>212</v>
      </c>
      <c r="D1095" s="250"/>
      <c r="E1095" s="250"/>
      <c r="F1095" s="250"/>
      <c r="G1095" s="256"/>
      <c r="H1095" s="256"/>
      <c r="I1095" s="257" t="e">
        <f>#REF!+G1095</f>
        <v>#REF!</v>
      </c>
      <c r="J1095" s="257" t="e">
        <f t="shared" si="551"/>
        <v>#REF!</v>
      </c>
      <c r="K1095" s="257" t="e">
        <f t="shared" si="553"/>
        <v>#REF!</v>
      </c>
      <c r="L1095" s="257" t="e">
        <f t="shared" si="553"/>
        <v>#REF!</v>
      </c>
      <c r="M1095" s="257"/>
      <c r="N1095" s="257" t="e">
        <f t="shared" si="554"/>
        <v>#REF!</v>
      </c>
    </row>
    <row r="1096" spans="1:14" ht="25.5" hidden="1" customHeight="1" x14ac:dyDescent="0.2">
      <c r="A1096" s="398" t="s">
        <v>273</v>
      </c>
      <c r="B1096" s="249">
        <v>813</v>
      </c>
      <c r="C1096" s="250" t="s">
        <v>212</v>
      </c>
      <c r="D1096" s="250">
        <v>10</v>
      </c>
      <c r="E1096" s="250"/>
      <c r="F1096" s="250"/>
      <c r="G1096" s="256"/>
      <c r="H1096" s="256"/>
      <c r="I1096" s="257" t="e">
        <f>#REF!+G1096</f>
        <v>#REF!</v>
      </c>
      <c r="J1096" s="257" t="e">
        <f t="shared" si="551"/>
        <v>#REF!</v>
      </c>
      <c r="K1096" s="257" t="e">
        <f t="shared" si="553"/>
        <v>#REF!</v>
      </c>
      <c r="L1096" s="257" t="e">
        <f t="shared" si="553"/>
        <v>#REF!</v>
      </c>
      <c r="M1096" s="257"/>
      <c r="N1096" s="257" t="e">
        <f t="shared" si="554"/>
        <v>#REF!</v>
      </c>
    </row>
    <row r="1097" spans="1:14" ht="38.25" hidden="1" customHeight="1" x14ac:dyDescent="0.2">
      <c r="A1097" s="259" t="s">
        <v>331</v>
      </c>
      <c r="B1097" s="271">
        <v>813</v>
      </c>
      <c r="C1097" s="252" t="s">
        <v>212</v>
      </c>
      <c r="D1097" s="252">
        <v>10</v>
      </c>
      <c r="E1097" s="260" t="s">
        <v>332</v>
      </c>
      <c r="F1097" s="252"/>
      <c r="G1097" s="256"/>
      <c r="H1097" s="256"/>
      <c r="I1097" s="257" t="e">
        <f>#REF!+G1097</f>
        <v>#REF!</v>
      </c>
      <c r="J1097" s="257" t="e">
        <f t="shared" si="551"/>
        <v>#REF!</v>
      </c>
      <c r="K1097" s="257" t="e">
        <f t="shared" si="553"/>
        <v>#REF!</v>
      </c>
      <c r="L1097" s="257" t="e">
        <f t="shared" si="553"/>
        <v>#REF!</v>
      </c>
      <c r="M1097" s="257"/>
      <c r="N1097" s="257" t="e">
        <f t="shared" si="554"/>
        <v>#REF!</v>
      </c>
    </row>
    <row r="1098" spans="1:14" ht="12.75" hidden="1" customHeight="1" x14ac:dyDescent="0.2">
      <c r="A1098" s="259" t="s">
        <v>333</v>
      </c>
      <c r="B1098" s="271">
        <v>813</v>
      </c>
      <c r="C1098" s="252" t="s">
        <v>212</v>
      </c>
      <c r="D1098" s="252">
        <v>10</v>
      </c>
      <c r="E1098" s="260" t="s">
        <v>334</v>
      </c>
      <c r="F1098" s="252"/>
      <c r="G1098" s="256"/>
      <c r="H1098" s="256"/>
      <c r="I1098" s="257" t="e">
        <f>#REF!+G1098</f>
        <v>#REF!</v>
      </c>
      <c r="J1098" s="257" t="e">
        <f t="shared" si="551"/>
        <v>#REF!</v>
      </c>
      <c r="K1098" s="257" t="e">
        <f t="shared" si="553"/>
        <v>#REF!</v>
      </c>
      <c r="L1098" s="257" t="e">
        <f t="shared" si="553"/>
        <v>#REF!</v>
      </c>
      <c r="M1098" s="257"/>
      <c r="N1098" s="257" t="e">
        <f t="shared" si="554"/>
        <v>#REF!</v>
      </c>
    </row>
    <row r="1099" spans="1:14" ht="12.75" hidden="1" customHeight="1" x14ac:dyDescent="0.2">
      <c r="A1099" s="259" t="s">
        <v>320</v>
      </c>
      <c r="B1099" s="271">
        <v>813</v>
      </c>
      <c r="C1099" s="252" t="s">
        <v>212</v>
      </c>
      <c r="D1099" s="252">
        <v>10</v>
      </c>
      <c r="E1099" s="260" t="s">
        <v>334</v>
      </c>
      <c r="F1099" s="252" t="s">
        <v>321</v>
      </c>
      <c r="G1099" s="256"/>
      <c r="H1099" s="256"/>
      <c r="I1099" s="257" t="e">
        <f>#REF!+G1099</f>
        <v>#REF!</v>
      </c>
      <c r="J1099" s="257" t="e">
        <f t="shared" si="551"/>
        <v>#REF!</v>
      </c>
      <c r="K1099" s="257" t="e">
        <f t="shared" si="553"/>
        <v>#REF!</v>
      </c>
      <c r="L1099" s="257" t="e">
        <f t="shared" si="553"/>
        <v>#REF!</v>
      </c>
      <c r="M1099" s="257"/>
      <c r="N1099" s="257" t="e">
        <f t="shared" si="554"/>
        <v>#REF!</v>
      </c>
    </row>
    <row r="1100" spans="1:14" ht="12.75" hidden="1" customHeight="1" x14ac:dyDescent="0.2">
      <c r="A1100" s="259" t="s">
        <v>302</v>
      </c>
      <c r="B1100" s="271">
        <v>813</v>
      </c>
      <c r="C1100" s="252" t="s">
        <v>212</v>
      </c>
      <c r="D1100" s="252">
        <v>10</v>
      </c>
      <c r="E1100" s="260" t="s">
        <v>334</v>
      </c>
      <c r="F1100" s="252" t="s">
        <v>303</v>
      </c>
      <c r="G1100" s="256"/>
      <c r="H1100" s="256"/>
      <c r="I1100" s="257" t="e">
        <f>#REF!+G1100</f>
        <v>#REF!</v>
      </c>
      <c r="J1100" s="257" t="e">
        <f t="shared" si="551"/>
        <v>#REF!</v>
      </c>
      <c r="K1100" s="257" t="e">
        <f t="shared" si="553"/>
        <v>#REF!</v>
      </c>
      <c r="L1100" s="257" t="e">
        <f t="shared" si="553"/>
        <v>#REF!</v>
      </c>
      <c r="M1100" s="257"/>
      <c r="N1100" s="257" t="e">
        <f t="shared" si="554"/>
        <v>#REF!</v>
      </c>
    </row>
    <row r="1101" spans="1:14" ht="12.75" hidden="1" customHeight="1" x14ac:dyDescent="0.2">
      <c r="A1101" s="525" t="s">
        <v>56</v>
      </c>
      <c r="B1101" s="526"/>
      <c r="C1101" s="526"/>
      <c r="D1101" s="526"/>
      <c r="E1101" s="526"/>
      <c r="F1101" s="526"/>
      <c r="G1101" s="256"/>
      <c r="H1101" s="256"/>
      <c r="I1101" s="257" t="e">
        <f>#REF!+G1101</f>
        <v>#REF!</v>
      </c>
      <c r="J1101" s="257" t="e">
        <f t="shared" si="551"/>
        <v>#REF!</v>
      </c>
      <c r="K1101" s="257" t="e">
        <f t="shared" si="553"/>
        <v>#REF!</v>
      </c>
      <c r="L1101" s="257" t="e">
        <f t="shared" si="553"/>
        <v>#REF!</v>
      </c>
      <c r="M1101" s="257"/>
      <c r="N1101" s="257" t="e">
        <f t="shared" si="554"/>
        <v>#REF!</v>
      </c>
    </row>
    <row r="1102" spans="1:14" ht="12.75" hidden="1" customHeight="1" x14ac:dyDescent="0.2">
      <c r="A1102" s="398" t="s">
        <v>72</v>
      </c>
      <c r="B1102" s="250" t="s">
        <v>57</v>
      </c>
      <c r="C1102" s="250" t="s">
        <v>190</v>
      </c>
      <c r="D1102" s="250"/>
      <c r="E1102" s="250"/>
      <c r="F1102" s="250"/>
      <c r="G1102" s="256"/>
      <c r="H1102" s="256"/>
      <c r="I1102" s="257" t="e">
        <f>#REF!+G1102</f>
        <v>#REF!</v>
      </c>
      <c r="J1102" s="257" t="e">
        <f t="shared" si="551"/>
        <v>#REF!</v>
      </c>
      <c r="K1102" s="257" t="e">
        <f t="shared" si="553"/>
        <v>#REF!</v>
      </c>
      <c r="L1102" s="257" t="e">
        <f t="shared" si="553"/>
        <v>#REF!</v>
      </c>
      <c r="M1102" s="257"/>
      <c r="N1102" s="257" t="e">
        <f t="shared" si="554"/>
        <v>#REF!</v>
      </c>
    </row>
    <row r="1103" spans="1:14" ht="12.75" hidden="1" customHeight="1" x14ac:dyDescent="0.2">
      <c r="A1103" s="398" t="s">
        <v>206</v>
      </c>
      <c r="B1103" s="250" t="s">
        <v>57</v>
      </c>
      <c r="C1103" s="250" t="s">
        <v>190</v>
      </c>
      <c r="D1103" s="250" t="s">
        <v>207</v>
      </c>
      <c r="E1103" s="250"/>
      <c r="F1103" s="250"/>
      <c r="G1103" s="256"/>
      <c r="H1103" s="256"/>
      <c r="I1103" s="257" t="e">
        <f>#REF!+G1103</f>
        <v>#REF!</v>
      </c>
      <c r="J1103" s="257" t="e">
        <f t="shared" si="551"/>
        <v>#REF!</v>
      </c>
      <c r="K1103" s="257" t="e">
        <f t="shared" si="553"/>
        <v>#REF!</v>
      </c>
      <c r="L1103" s="257" t="e">
        <f t="shared" si="553"/>
        <v>#REF!</v>
      </c>
      <c r="M1103" s="257"/>
      <c r="N1103" s="257" t="e">
        <f t="shared" si="554"/>
        <v>#REF!</v>
      </c>
    </row>
    <row r="1104" spans="1:14" ht="38.25" hidden="1" customHeight="1" x14ac:dyDescent="0.2">
      <c r="A1104" s="259" t="s">
        <v>123</v>
      </c>
      <c r="B1104" s="252" t="s">
        <v>57</v>
      </c>
      <c r="C1104" s="252" t="s">
        <v>190</v>
      </c>
      <c r="D1104" s="252" t="s">
        <v>207</v>
      </c>
      <c r="E1104" s="260" t="s">
        <v>332</v>
      </c>
      <c r="F1104" s="252"/>
      <c r="G1104" s="256"/>
      <c r="H1104" s="256"/>
      <c r="I1104" s="257" t="e">
        <f>#REF!+G1104</f>
        <v>#REF!</v>
      </c>
      <c r="J1104" s="257" t="e">
        <f t="shared" si="551"/>
        <v>#REF!</v>
      </c>
      <c r="K1104" s="257" t="e">
        <f t="shared" si="553"/>
        <v>#REF!</v>
      </c>
      <c r="L1104" s="257" t="e">
        <f t="shared" si="553"/>
        <v>#REF!</v>
      </c>
      <c r="M1104" s="257"/>
      <c r="N1104" s="257" t="e">
        <f t="shared" si="554"/>
        <v>#REF!</v>
      </c>
    </row>
    <row r="1105" spans="1:14" ht="12.75" hidden="1" customHeight="1" x14ac:dyDescent="0.2">
      <c r="A1105" s="259" t="s">
        <v>333</v>
      </c>
      <c r="B1105" s="252" t="s">
        <v>57</v>
      </c>
      <c r="C1105" s="252" t="s">
        <v>190</v>
      </c>
      <c r="D1105" s="252" t="s">
        <v>207</v>
      </c>
      <c r="E1105" s="260" t="s">
        <v>334</v>
      </c>
      <c r="F1105" s="252"/>
      <c r="G1105" s="256"/>
      <c r="H1105" s="256"/>
      <c r="I1105" s="257" t="e">
        <f>#REF!+G1105</f>
        <v>#REF!</v>
      </c>
      <c r="J1105" s="257" t="e">
        <f t="shared" ref="J1105:J1139" si="555">H1105+I1105</f>
        <v>#REF!</v>
      </c>
      <c r="K1105" s="257" t="e">
        <f t="shared" si="553"/>
        <v>#REF!</v>
      </c>
      <c r="L1105" s="257" t="e">
        <f t="shared" si="553"/>
        <v>#REF!</v>
      </c>
      <c r="M1105" s="257"/>
      <c r="N1105" s="257" t="e">
        <f t="shared" ref="N1105:N1138" si="556">J1105+K1105</f>
        <v>#REF!</v>
      </c>
    </row>
    <row r="1106" spans="1:14" ht="12.75" hidden="1" customHeight="1" x14ac:dyDescent="0.2">
      <c r="A1106" s="259" t="s">
        <v>320</v>
      </c>
      <c r="B1106" s="252" t="s">
        <v>57</v>
      </c>
      <c r="C1106" s="252" t="s">
        <v>190</v>
      </c>
      <c r="D1106" s="252" t="s">
        <v>207</v>
      </c>
      <c r="E1106" s="260" t="s">
        <v>334</v>
      </c>
      <c r="F1106" s="252" t="s">
        <v>321</v>
      </c>
      <c r="G1106" s="256"/>
      <c r="H1106" s="256"/>
      <c r="I1106" s="257" t="e">
        <f>#REF!+G1106</f>
        <v>#REF!</v>
      </c>
      <c r="J1106" s="257" t="e">
        <f t="shared" si="555"/>
        <v>#REF!</v>
      </c>
      <c r="K1106" s="257" t="e">
        <f t="shared" si="553"/>
        <v>#REF!</v>
      </c>
      <c r="L1106" s="257" t="e">
        <f t="shared" si="553"/>
        <v>#REF!</v>
      </c>
      <c r="M1106" s="257"/>
      <c r="N1106" s="257" t="e">
        <f t="shared" si="556"/>
        <v>#REF!</v>
      </c>
    </row>
    <row r="1107" spans="1:14" ht="12.75" hidden="1" customHeight="1" x14ac:dyDescent="0.2">
      <c r="A1107" s="259" t="s">
        <v>302</v>
      </c>
      <c r="B1107" s="252" t="s">
        <v>57</v>
      </c>
      <c r="C1107" s="252" t="s">
        <v>190</v>
      </c>
      <c r="D1107" s="252" t="s">
        <v>207</v>
      </c>
      <c r="E1107" s="260" t="s">
        <v>334</v>
      </c>
      <c r="F1107" s="252" t="s">
        <v>303</v>
      </c>
      <c r="G1107" s="256"/>
      <c r="H1107" s="256"/>
      <c r="I1107" s="257" t="e">
        <f>#REF!+G1107</f>
        <v>#REF!</v>
      </c>
      <c r="J1107" s="257" t="e">
        <f t="shared" si="555"/>
        <v>#REF!</v>
      </c>
      <c r="K1107" s="257" t="e">
        <f t="shared" ref="K1107:L1130" si="557">H1107+I1107</f>
        <v>#REF!</v>
      </c>
      <c r="L1107" s="257" t="e">
        <f t="shared" si="557"/>
        <v>#REF!</v>
      </c>
      <c r="M1107" s="257"/>
      <c r="N1107" s="257" t="e">
        <f t="shared" si="556"/>
        <v>#REF!</v>
      </c>
    </row>
    <row r="1108" spans="1:14" ht="34.5" hidden="1" customHeight="1" x14ac:dyDescent="0.2">
      <c r="A1108" s="525" t="s">
        <v>58</v>
      </c>
      <c r="B1108" s="526"/>
      <c r="C1108" s="526"/>
      <c r="D1108" s="526"/>
      <c r="E1108" s="526"/>
      <c r="F1108" s="252"/>
      <c r="G1108" s="256"/>
      <c r="H1108" s="256"/>
      <c r="I1108" s="257" t="e">
        <f>#REF!+G1108</f>
        <v>#REF!</v>
      </c>
      <c r="J1108" s="257" t="e">
        <f t="shared" si="555"/>
        <v>#REF!</v>
      </c>
      <c r="K1108" s="257" t="e">
        <f t="shared" si="557"/>
        <v>#REF!</v>
      </c>
      <c r="L1108" s="257" t="e">
        <f t="shared" si="557"/>
        <v>#REF!</v>
      </c>
      <c r="M1108" s="257"/>
      <c r="N1108" s="257" t="e">
        <f t="shared" si="556"/>
        <v>#REF!</v>
      </c>
    </row>
    <row r="1109" spans="1:14" ht="12.75" hidden="1" customHeight="1" x14ac:dyDescent="0.2">
      <c r="A1109" s="398" t="s">
        <v>306</v>
      </c>
      <c r="B1109" s="249">
        <v>815</v>
      </c>
      <c r="C1109" s="250" t="s">
        <v>196</v>
      </c>
      <c r="D1109" s="250"/>
      <c r="E1109" s="250"/>
      <c r="F1109" s="250"/>
      <c r="G1109" s="256"/>
      <c r="H1109" s="256"/>
      <c r="I1109" s="257" t="e">
        <f>#REF!+G1109</f>
        <v>#REF!</v>
      </c>
      <c r="J1109" s="257" t="e">
        <f t="shared" si="555"/>
        <v>#REF!</v>
      </c>
      <c r="K1109" s="257" t="e">
        <f t="shared" si="557"/>
        <v>#REF!</v>
      </c>
      <c r="L1109" s="257" t="e">
        <f t="shared" si="557"/>
        <v>#REF!</v>
      </c>
      <c r="M1109" s="257"/>
      <c r="N1109" s="257" t="e">
        <f t="shared" si="556"/>
        <v>#REF!</v>
      </c>
    </row>
    <row r="1110" spans="1:14" ht="12.75" hidden="1" customHeight="1" x14ac:dyDescent="0.2">
      <c r="A1110" s="398" t="s">
        <v>217</v>
      </c>
      <c r="B1110" s="249">
        <v>815</v>
      </c>
      <c r="C1110" s="250" t="s">
        <v>196</v>
      </c>
      <c r="D1110" s="250" t="s">
        <v>198</v>
      </c>
      <c r="E1110" s="250"/>
      <c r="F1110" s="250"/>
      <c r="G1110" s="256"/>
      <c r="H1110" s="256"/>
      <c r="I1110" s="257" t="e">
        <f>#REF!+G1110</f>
        <v>#REF!</v>
      </c>
      <c r="J1110" s="257" t="e">
        <f t="shared" si="555"/>
        <v>#REF!</v>
      </c>
      <c r="K1110" s="257" t="e">
        <f t="shared" si="557"/>
        <v>#REF!</v>
      </c>
      <c r="L1110" s="257" t="e">
        <f t="shared" si="557"/>
        <v>#REF!</v>
      </c>
      <c r="M1110" s="257"/>
      <c r="N1110" s="257" t="e">
        <f t="shared" si="556"/>
        <v>#REF!</v>
      </c>
    </row>
    <row r="1111" spans="1:14" ht="38.25" hidden="1" customHeight="1" x14ac:dyDescent="0.2">
      <c r="A1111" s="259" t="s">
        <v>123</v>
      </c>
      <c r="B1111" s="271">
        <v>815</v>
      </c>
      <c r="C1111" s="252" t="s">
        <v>196</v>
      </c>
      <c r="D1111" s="252" t="s">
        <v>198</v>
      </c>
      <c r="E1111" s="252" t="s">
        <v>332</v>
      </c>
      <c r="F1111" s="250"/>
      <c r="G1111" s="256"/>
      <c r="H1111" s="256"/>
      <c r="I1111" s="257" t="e">
        <f>#REF!+G1111</f>
        <v>#REF!</v>
      </c>
      <c r="J1111" s="257" t="e">
        <f t="shared" si="555"/>
        <v>#REF!</v>
      </c>
      <c r="K1111" s="257" t="e">
        <f t="shared" si="557"/>
        <v>#REF!</v>
      </c>
      <c r="L1111" s="257" t="e">
        <f t="shared" si="557"/>
        <v>#REF!</v>
      </c>
      <c r="M1111" s="257"/>
      <c r="N1111" s="257" t="e">
        <f t="shared" si="556"/>
        <v>#REF!</v>
      </c>
    </row>
    <row r="1112" spans="1:14" ht="12.75" hidden="1" customHeight="1" x14ac:dyDescent="0.2">
      <c r="A1112" s="259" t="s">
        <v>333</v>
      </c>
      <c r="B1112" s="271">
        <v>815</v>
      </c>
      <c r="C1112" s="252" t="s">
        <v>196</v>
      </c>
      <c r="D1112" s="252" t="s">
        <v>198</v>
      </c>
      <c r="E1112" s="252" t="s">
        <v>334</v>
      </c>
      <c r="F1112" s="252"/>
      <c r="G1112" s="256"/>
      <c r="H1112" s="256"/>
      <c r="I1112" s="257" t="e">
        <f>#REF!+G1112</f>
        <v>#REF!</v>
      </c>
      <c r="J1112" s="257" t="e">
        <f t="shared" si="555"/>
        <v>#REF!</v>
      </c>
      <c r="K1112" s="257" t="e">
        <f t="shared" si="557"/>
        <v>#REF!</v>
      </c>
      <c r="L1112" s="257" t="e">
        <f t="shared" si="557"/>
        <v>#REF!</v>
      </c>
      <c r="M1112" s="257"/>
      <c r="N1112" s="257" t="e">
        <f t="shared" si="556"/>
        <v>#REF!</v>
      </c>
    </row>
    <row r="1113" spans="1:14" ht="12.75" hidden="1" customHeight="1" x14ac:dyDescent="0.2">
      <c r="A1113" s="259" t="s">
        <v>320</v>
      </c>
      <c r="B1113" s="271">
        <v>815</v>
      </c>
      <c r="C1113" s="252" t="s">
        <v>196</v>
      </c>
      <c r="D1113" s="252" t="s">
        <v>198</v>
      </c>
      <c r="E1113" s="252" t="s">
        <v>334</v>
      </c>
      <c r="F1113" s="252" t="s">
        <v>321</v>
      </c>
      <c r="G1113" s="256"/>
      <c r="H1113" s="256"/>
      <c r="I1113" s="257" t="e">
        <f>#REF!+G1113</f>
        <v>#REF!</v>
      </c>
      <c r="J1113" s="257" t="e">
        <f t="shared" si="555"/>
        <v>#REF!</v>
      </c>
      <c r="K1113" s="257" t="e">
        <f t="shared" si="557"/>
        <v>#REF!</v>
      </c>
      <c r="L1113" s="257" t="e">
        <f t="shared" si="557"/>
        <v>#REF!</v>
      </c>
      <c r="M1113" s="257"/>
      <c r="N1113" s="257" t="e">
        <f t="shared" si="556"/>
        <v>#REF!</v>
      </c>
    </row>
    <row r="1114" spans="1:14" ht="25.5" hidden="1" customHeight="1" x14ac:dyDescent="0.2">
      <c r="A1114" s="259" t="s">
        <v>59</v>
      </c>
      <c r="B1114" s="271">
        <v>815</v>
      </c>
      <c r="C1114" s="252" t="s">
        <v>196</v>
      </c>
      <c r="D1114" s="252" t="s">
        <v>198</v>
      </c>
      <c r="E1114" s="252" t="s">
        <v>60</v>
      </c>
      <c r="F1114" s="252"/>
      <c r="G1114" s="256"/>
      <c r="H1114" s="256"/>
      <c r="I1114" s="257" t="e">
        <f>#REF!+G1114</f>
        <v>#REF!</v>
      </c>
      <c r="J1114" s="257" t="e">
        <f t="shared" si="555"/>
        <v>#REF!</v>
      </c>
      <c r="K1114" s="257" t="e">
        <f t="shared" si="557"/>
        <v>#REF!</v>
      </c>
      <c r="L1114" s="257" t="e">
        <f t="shared" si="557"/>
        <v>#REF!</v>
      </c>
      <c r="M1114" s="257"/>
      <c r="N1114" s="257" t="e">
        <f t="shared" si="556"/>
        <v>#REF!</v>
      </c>
    </row>
    <row r="1115" spans="1:14" ht="12.75" hidden="1" customHeight="1" x14ac:dyDescent="0.2">
      <c r="A1115" s="259" t="s">
        <v>320</v>
      </c>
      <c r="B1115" s="271">
        <v>815</v>
      </c>
      <c r="C1115" s="252" t="s">
        <v>196</v>
      </c>
      <c r="D1115" s="252" t="s">
        <v>198</v>
      </c>
      <c r="E1115" s="252" t="s">
        <v>60</v>
      </c>
      <c r="F1115" s="252" t="s">
        <v>321</v>
      </c>
      <c r="G1115" s="256"/>
      <c r="H1115" s="256"/>
      <c r="I1115" s="257" t="e">
        <f>#REF!+G1115</f>
        <v>#REF!</v>
      </c>
      <c r="J1115" s="257" t="e">
        <f t="shared" si="555"/>
        <v>#REF!</v>
      </c>
      <c r="K1115" s="257" t="e">
        <f t="shared" si="557"/>
        <v>#REF!</v>
      </c>
      <c r="L1115" s="257" t="e">
        <f t="shared" si="557"/>
        <v>#REF!</v>
      </c>
      <c r="M1115" s="257"/>
      <c r="N1115" s="257" t="e">
        <f t="shared" si="556"/>
        <v>#REF!</v>
      </c>
    </row>
    <row r="1116" spans="1:14" ht="12.75" hidden="1" customHeight="1" x14ac:dyDescent="0.2">
      <c r="A1116" s="398" t="s">
        <v>25</v>
      </c>
      <c r="B1116" s="249">
        <v>815</v>
      </c>
      <c r="C1116" s="250" t="s">
        <v>200</v>
      </c>
      <c r="D1116" s="250"/>
      <c r="E1116" s="252"/>
      <c r="F1116" s="252"/>
      <c r="G1116" s="256"/>
      <c r="H1116" s="256"/>
      <c r="I1116" s="257" t="e">
        <f>#REF!+G1116</f>
        <v>#REF!</v>
      </c>
      <c r="J1116" s="257" t="e">
        <f t="shared" si="555"/>
        <v>#REF!</v>
      </c>
      <c r="K1116" s="257" t="e">
        <f t="shared" si="557"/>
        <v>#REF!</v>
      </c>
      <c r="L1116" s="257" t="e">
        <f t="shared" si="557"/>
        <v>#REF!</v>
      </c>
      <c r="M1116" s="257"/>
      <c r="N1116" s="257" t="e">
        <f t="shared" si="556"/>
        <v>#REF!</v>
      </c>
    </row>
    <row r="1117" spans="1:14" ht="25.5" hidden="1" customHeight="1" x14ac:dyDescent="0.2">
      <c r="A1117" s="398" t="s">
        <v>26</v>
      </c>
      <c r="B1117" s="249">
        <v>815</v>
      </c>
      <c r="C1117" s="250" t="s">
        <v>200</v>
      </c>
      <c r="D1117" s="250" t="s">
        <v>194</v>
      </c>
      <c r="E1117" s="252"/>
      <c r="F1117" s="252"/>
      <c r="G1117" s="256"/>
      <c r="H1117" s="256"/>
      <c r="I1117" s="257" t="e">
        <f>#REF!+G1117</f>
        <v>#REF!</v>
      </c>
      <c r="J1117" s="257" t="e">
        <f t="shared" si="555"/>
        <v>#REF!</v>
      </c>
      <c r="K1117" s="257" t="e">
        <f t="shared" si="557"/>
        <v>#REF!</v>
      </c>
      <c r="L1117" s="257" t="e">
        <f t="shared" si="557"/>
        <v>#REF!</v>
      </c>
      <c r="M1117" s="257"/>
      <c r="N1117" s="257" t="e">
        <f t="shared" si="556"/>
        <v>#REF!</v>
      </c>
    </row>
    <row r="1118" spans="1:14" ht="12.75" hidden="1" customHeight="1" x14ac:dyDescent="0.2">
      <c r="A1118" s="398" t="s">
        <v>142</v>
      </c>
      <c r="B1118" s="249">
        <v>815</v>
      </c>
      <c r="C1118" s="250" t="s">
        <v>200</v>
      </c>
      <c r="D1118" s="250" t="s">
        <v>194</v>
      </c>
      <c r="E1118" s="252" t="s">
        <v>330</v>
      </c>
      <c r="F1118" s="252"/>
      <c r="G1118" s="256"/>
      <c r="H1118" s="256"/>
      <c r="I1118" s="257" t="e">
        <f>#REF!+G1118</f>
        <v>#REF!</v>
      </c>
      <c r="J1118" s="257" t="e">
        <f t="shared" si="555"/>
        <v>#REF!</v>
      </c>
      <c r="K1118" s="257" t="e">
        <f t="shared" si="557"/>
        <v>#REF!</v>
      </c>
      <c r="L1118" s="257" t="e">
        <f t="shared" si="557"/>
        <v>#REF!</v>
      </c>
      <c r="M1118" s="257"/>
      <c r="N1118" s="257" t="e">
        <f t="shared" si="556"/>
        <v>#REF!</v>
      </c>
    </row>
    <row r="1119" spans="1:14" ht="51" hidden="1" customHeight="1" x14ac:dyDescent="0.2">
      <c r="A1119" s="259" t="s">
        <v>260</v>
      </c>
      <c r="B1119" s="271">
        <v>815</v>
      </c>
      <c r="C1119" s="252" t="s">
        <v>200</v>
      </c>
      <c r="D1119" s="252" t="s">
        <v>194</v>
      </c>
      <c r="E1119" s="252" t="s">
        <v>261</v>
      </c>
      <c r="F1119" s="250"/>
      <c r="G1119" s="256"/>
      <c r="H1119" s="256"/>
      <c r="I1119" s="257" t="e">
        <f>#REF!+G1119</f>
        <v>#REF!</v>
      </c>
      <c r="J1119" s="257" t="e">
        <f t="shared" si="555"/>
        <v>#REF!</v>
      </c>
      <c r="K1119" s="257" t="e">
        <f t="shared" si="557"/>
        <v>#REF!</v>
      </c>
      <c r="L1119" s="257" t="e">
        <f t="shared" si="557"/>
        <v>#REF!</v>
      </c>
      <c r="M1119" s="257"/>
      <c r="N1119" s="257" t="e">
        <f t="shared" si="556"/>
        <v>#REF!</v>
      </c>
    </row>
    <row r="1120" spans="1:14" ht="12.75" hidden="1" customHeight="1" x14ac:dyDescent="0.2">
      <c r="A1120" s="259" t="s">
        <v>320</v>
      </c>
      <c r="B1120" s="271">
        <v>815</v>
      </c>
      <c r="C1120" s="252" t="s">
        <v>200</v>
      </c>
      <c r="D1120" s="252" t="s">
        <v>194</v>
      </c>
      <c r="E1120" s="252" t="s">
        <v>261</v>
      </c>
      <c r="F1120" s="252" t="s">
        <v>321</v>
      </c>
      <c r="G1120" s="256"/>
      <c r="H1120" s="256"/>
      <c r="I1120" s="257" t="e">
        <f>#REF!+G1120</f>
        <v>#REF!</v>
      </c>
      <c r="J1120" s="257" t="e">
        <f t="shared" si="555"/>
        <v>#REF!</v>
      </c>
      <c r="K1120" s="257" t="e">
        <f t="shared" si="557"/>
        <v>#REF!</v>
      </c>
      <c r="L1120" s="257" t="e">
        <f t="shared" si="557"/>
        <v>#REF!</v>
      </c>
      <c r="M1120" s="257"/>
      <c r="N1120" s="257" t="e">
        <f t="shared" si="556"/>
        <v>#REF!</v>
      </c>
    </row>
    <row r="1121" spans="1:14" ht="25.5" hidden="1" customHeight="1" x14ac:dyDescent="0.2">
      <c r="A1121" s="259" t="s">
        <v>262</v>
      </c>
      <c r="B1121" s="271">
        <v>815</v>
      </c>
      <c r="C1121" s="252" t="s">
        <v>200</v>
      </c>
      <c r="D1121" s="252" t="s">
        <v>194</v>
      </c>
      <c r="E1121" s="252" t="s">
        <v>263</v>
      </c>
      <c r="F1121" s="250"/>
      <c r="G1121" s="256"/>
      <c r="H1121" s="256"/>
      <c r="I1121" s="257" t="e">
        <f>#REF!+G1121</f>
        <v>#REF!</v>
      </c>
      <c r="J1121" s="257" t="e">
        <f t="shared" si="555"/>
        <v>#REF!</v>
      </c>
      <c r="K1121" s="257" t="e">
        <f t="shared" si="557"/>
        <v>#REF!</v>
      </c>
      <c r="L1121" s="257" t="e">
        <f t="shared" si="557"/>
        <v>#REF!</v>
      </c>
      <c r="M1121" s="257"/>
      <c r="N1121" s="257" t="e">
        <f t="shared" si="556"/>
        <v>#REF!</v>
      </c>
    </row>
    <row r="1122" spans="1:14" ht="12.75" hidden="1" customHeight="1" x14ac:dyDescent="0.2">
      <c r="A1122" s="259" t="s">
        <v>320</v>
      </c>
      <c r="B1122" s="271">
        <v>815</v>
      </c>
      <c r="C1122" s="252" t="s">
        <v>200</v>
      </c>
      <c r="D1122" s="252" t="s">
        <v>194</v>
      </c>
      <c r="E1122" s="252" t="s">
        <v>263</v>
      </c>
      <c r="F1122" s="252" t="s">
        <v>321</v>
      </c>
      <c r="G1122" s="256"/>
      <c r="H1122" s="256"/>
      <c r="I1122" s="257" t="e">
        <f>#REF!+G1122</f>
        <v>#REF!</v>
      </c>
      <c r="J1122" s="257" t="e">
        <f t="shared" si="555"/>
        <v>#REF!</v>
      </c>
      <c r="K1122" s="257" t="e">
        <f t="shared" si="557"/>
        <v>#REF!</v>
      </c>
      <c r="L1122" s="257" t="e">
        <f t="shared" si="557"/>
        <v>#REF!</v>
      </c>
      <c r="M1122" s="257"/>
      <c r="N1122" s="257" t="e">
        <f t="shared" si="556"/>
        <v>#REF!</v>
      </c>
    </row>
    <row r="1123" spans="1:14" ht="38.25" hidden="1" customHeight="1" x14ac:dyDescent="0.2">
      <c r="A1123" s="259" t="s">
        <v>264</v>
      </c>
      <c r="B1123" s="271">
        <v>815</v>
      </c>
      <c r="C1123" s="252" t="s">
        <v>200</v>
      </c>
      <c r="D1123" s="252" t="s">
        <v>194</v>
      </c>
      <c r="E1123" s="252" t="s">
        <v>265</v>
      </c>
      <c r="F1123" s="252"/>
      <c r="G1123" s="256"/>
      <c r="H1123" s="256"/>
      <c r="I1123" s="257" t="e">
        <f>#REF!+G1123</f>
        <v>#REF!</v>
      </c>
      <c r="J1123" s="257" t="e">
        <f t="shared" si="555"/>
        <v>#REF!</v>
      </c>
      <c r="K1123" s="257" t="e">
        <f t="shared" si="557"/>
        <v>#REF!</v>
      </c>
      <c r="L1123" s="257" t="e">
        <f t="shared" si="557"/>
        <v>#REF!</v>
      </c>
      <c r="M1123" s="257"/>
      <c r="N1123" s="257" t="e">
        <f t="shared" si="556"/>
        <v>#REF!</v>
      </c>
    </row>
    <row r="1124" spans="1:14" ht="12.75" hidden="1" customHeight="1" x14ac:dyDescent="0.2">
      <c r="A1124" s="259" t="s">
        <v>320</v>
      </c>
      <c r="B1124" s="271">
        <v>815</v>
      </c>
      <c r="C1124" s="252" t="s">
        <v>200</v>
      </c>
      <c r="D1124" s="252" t="s">
        <v>194</v>
      </c>
      <c r="E1124" s="252" t="s">
        <v>265</v>
      </c>
      <c r="F1124" s="252" t="s">
        <v>321</v>
      </c>
      <c r="G1124" s="256"/>
      <c r="H1124" s="256"/>
      <c r="I1124" s="257" t="e">
        <f>#REF!+G1124</f>
        <v>#REF!</v>
      </c>
      <c r="J1124" s="257" t="e">
        <f t="shared" si="555"/>
        <v>#REF!</v>
      </c>
      <c r="K1124" s="257" t="e">
        <f t="shared" si="557"/>
        <v>#REF!</v>
      </c>
      <c r="L1124" s="257" t="e">
        <f t="shared" si="557"/>
        <v>#REF!</v>
      </c>
      <c r="M1124" s="257"/>
      <c r="N1124" s="257" t="e">
        <f t="shared" si="556"/>
        <v>#REF!</v>
      </c>
    </row>
    <row r="1125" spans="1:14" ht="12.75" hidden="1" customHeight="1" x14ac:dyDescent="0.2">
      <c r="A1125" s="259" t="s">
        <v>95</v>
      </c>
      <c r="B1125" s="271">
        <v>801</v>
      </c>
      <c r="C1125" s="252" t="s">
        <v>205</v>
      </c>
      <c r="D1125" s="252" t="s">
        <v>192</v>
      </c>
      <c r="E1125" s="252" t="s">
        <v>5</v>
      </c>
      <c r="F1125" s="252" t="s">
        <v>96</v>
      </c>
      <c r="G1125" s="256"/>
      <c r="H1125" s="256"/>
      <c r="I1125" s="257" t="e">
        <f>#REF!+G1125</f>
        <v>#REF!</v>
      </c>
      <c r="J1125" s="257" t="e">
        <f t="shared" si="555"/>
        <v>#REF!</v>
      </c>
      <c r="K1125" s="257" t="e">
        <f t="shared" si="557"/>
        <v>#REF!</v>
      </c>
      <c r="L1125" s="257" t="e">
        <f t="shared" si="557"/>
        <v>#REF!</v>
      </c>
      <c r="M1125" s="257"/>
      <c r="N1125" s="257" t="e">
        <f t="shared" si="556"/>
        <v>#REF!</v>
      </c>
    </row>
    <row r="1126" spans="1:14" ht="12.75" hidden="1" customHeight="1" x14ac:dyDescent="0.2">
      <c r="A1126" s="259" t="s">
        <v>97</v>
      </c>
      <c r="B1126" s="271">
        <v>801</v>
      </c>
      <c r="C1126" s="252" t="s">
        <v>205</v>
      </c>
      <c r="D1126" s="252" t="s">
        <v>192</v>
      </c>
      <c r="E1126" s="252" t="s">
        <v>5</v>
      </c>
      <c r="F1126" s="252" t="s">
        <v>98</v>
      </c>
      <c r="G1126" s="256"/>
      <c r="H1126" s="256"/>
      <c r="I1126" s="257" t="e">
        <f>#REF!+G1126</f>
        <v>#REF!</v>
      </c>
      <c r="J1126" s="257" t="e">
        <f t="shared" si="555"/>
        <v>#REF!</v>
      </c>
      <c r="K1126" s="257" t="e">
        <f t="shared" si="557"/>
        <v>#REF!</v>
      </c>
      <c r="L1126" s="257" t="e">
        <f t="shared" si="557"/>
        <v>#REF!</v>
      </c>
      <c r="M1126" s="257"/>
      <c r="N1126" s="257" t="e">
        <f t="shared" si="556"/>
        <v>#REF!</v>
      </c>
    </row>
    <row r="1127" spans="1:14" ht="25.5" hidden="1" customHeight="1" x14ac:dyDescent="0.2">
      <c r="A1127" s="259" t="s">
        <v>99</v>
      </c>
      <c r="B1127" s="271">
        <v>801</v>
      </c>
      <c r="C1127" s="252" t="s">
        <v>205</v>
      </c>
      <c r="D1127" s="252" t="s">
        <v>192</v>
      </c>
      <c r="E1127" s="252" t="s">
        <v>5</v>
      </c>
      <c r="F1127" s="252" t="s">
        <v>100</v>
      </c>
      <c r="G1127" s="256"/>
      <c r="H1127" s="256"/>
      <c r="I1127" s="257" t="e">
        <f>#REF!+G1127</f>
        <v>#REF!</v>
      </c>
      <c r="J1127" s="257" t="e">
        <f t="shared" si="555"/>
        <v>#REF!</v>
      </c>
      <c r="K1127" s="257" t="e">
        <f t="shared" si="557"/>
        <v>#REF!</v>
      </c>
      <c r="L1127" s="257" t="e">
        <f t="shared" si="557"/>
        <v>#REF!</v>
      </c>
      <c r="M1127" s="257"/>
      <c r="N1127" s="257" t="e">
        <f t="shared" si="556"/>
        <v>#REF!</v>
      </c>
    </row>
    <row r="1128" spans="1:14" ht="25.5" hidden="1" customHeight="1" x14ac:dyDescent="0.2">
      <c r="A1128" s="259" t="s">
        <v>101</v>
      </c>
      <c r="B1128" s="271">
        <v>801</v>
      </c>
      <c r="C1128" s="252" t="s">
        <v>205</v>
      </c>
      <c r="D1128" s="252" t="s">
        <v>192</v>
      </c>
      <c r="E1128" s="252" t="s">
        <v>5</v>
      </c>
      <c r="F1128" s="252" t="s">
        <v>102</v>
      </c>
      <c r="G1128" s="256"/>
      <c r="H1128" s="256"/>
      <c r="I1128" s="257" t="e">
        <f>#REF!+G1128</f>
        <v>#REF!</v>
      </c>
      <c r="J1128" s="257" t="e">
        <f t="shared" si="555"/>
        <v>#REF!</v>
      </c>
      <c r="K1128" s="257" t="e">
        <f t="shared" si="557"/>
        <v>#REF!</v>
      </c>
      <c r="L1128" s="257" t="e">
        <f t="shared" si="557"/>
        <v>#REF!</v>
      </c>
      <c r="M1128" s="257"/>
      <c r="N1128" s="257" t="e">
        <f t="shared" si="556"/>
        <v>#REF!</v>
      </c>
    </row>
    <row r="1129" spans="1:14" ht="25.5" hidden="1" customHeight="1" x14ac:dyDescent="0.2">
      <c r="A1129" s="259" t="s">
        <v>93</v>
      </c>
      <c r="B1129" s="271">
        <v>801</v>
      </c>
      <c r="C1129" s="252" t="s">
        <v>205</v>
      </c>
      <c r="D1129" s="252" t="s">
        <v>192</v>
      </c>
      <c r="E1129" s="252" t="s">
        <v>5</v>
      </c>
      <c r="F1129" s="252" t="s">
        <v>94</v>
      </c>
      <c r="G1129" s="256"/>
      <c r="H1129" s="256"/>
      <c r="I1129" s="257" t="e">
        <f>#REF!+G1129</f>
        <v>#REF!</v>
      </c>
      <c r="J1129" s="257" t="e">
        <f t="shared" si="555"/>
        <v>#REF!</v>
      </c>
      <c r="K1129" s="257" t="e">
        <f t="shared" si="557"/>
        <v>#REF!</v>
      </c>
      <c r="L1129" s="257" t="e">
        <f t="shared" si="557"/>
        <v>#REF!</v>
      </c>
      <c r="M1129" s="257"/>
      <c r="N1129" s="257" t="e">
        <f t="shared" si="556"/>
        <v>#REF!</v>
      </c>
    </row>
    <row r="1130" spans="1:14" ht="30" hidden="1" x14ac:dyDescent="0.2">
      <c r="A1130" s="259" t="s">
        <v>76</v>
      </c>
      <c r="B1130" s="271">
        <v>801</v>
      </c>
      <c r="C1130" s="252" t="s">
        <v>205</v>
      </c>
      <c r="D1130" s="252" t="s">
        <v>192</v>
      </c>
      <c r="E1130" s="252" t="s">
        <v>5</v>
      </c>
      <c r="F1130" s="252" t="s">
        <v>77</v>
      </c>
      <c r="G1130" s="256"/>
      <c r="H1130" s="256"/>
      <c r="I1130" s="257" t="e">
        <f>#REF!+G1130</f>
        <v>#REF!</v>
      </c>
      <c r="J1130" s="257" t="e">
        <f t="shared" si="555"/>
        <v>#REF!</v>
      </c>
      <c r="K1130" s="257" t="e">
        <f t="shared" si="557"/>
        <v>#REF!</v>
      </c>
      <c r="L1130" s="257" t="e">
        <f t="shared" si="557"/>
        <v>#REF!</v>
      </c>
      <c r="M1130" s="257"/>
      <c r="N1130" s="257" t="e">
        <f t="shared" si="556"/>
        <v>#REF!</v>
      </c>
    </row>
    <row r="1131" spans="1:14" ht="12.75" hidden="1" customHeight="1" x14ac:dyDescent="0.2">
      <c r="A1131" s="259" t="s">
        <v>78</v>
      </c>
      <c r="B1131" s="271">
        <v>801</v>
      </c>
      <c r="C1131" s="252" t="s">
        <v>205</v>
      </c>
      <c r="D1131" s="252" t="s">
        <v>192</v>
      </c>
      <c r="E1131" s="252" t="s">
        <v>5</v>
      </c>
      <c r="F1131" s="252" t="s">
        <v>79</v>
      </c>
      <c r="G1131" s="256"/>
      <c r="H1131" s="256"/>
      <c r="I1131" s="257" t="e">
        <f>#REF!+G1131</f>
        <v>#REF!</v>
      </c>
      <c r="J1131" s="257" t="e">
        <f t="shared" si="555"/>
        <v>#REF!</v>
      </c>
      <c r="K1131" s="257" t="e">
        <f>#REF!+I1131</f>
        <v>#REF!</v>
      </c>
      <c r="L1131" s="257" t="e">
        <f t="shared" ref="L1131:L1138" si="558">I1131+J1131</f>
        <v>#REF!</v>
      </c>
      <c r="M1131" s="257"/>
      <c r="N1131" s="257" t="e">
        <f t="shared" si="556"/>
        <v>#REF!</v>
      </c>
    </row>
    <row r="1132" spans="1:14" ht="12.75" hidden="1" customHeight="1" x14ac:dyDescent="0.2">
      <c r="A1132" s="259" t="s">
        <v>103</v>
      </c>
      <c r="B1132" s="271">
        <v>801</v>
      </c>
      <c r="C1132" s="252" t="s">
        <v>205</v>
      </c>
      <c r="D1132" s="252" t="s">
        <v>192</v>
      </c>
      <c r="E1132" s="252" t="s">
        <v>5</v>
      </c>
      <c r="F1132" s="252" t="s">
        <v>104</v>
      </c>
      <c r="G1132" s="256"/>
      <c r="H1132" s="256"/>
      <c r="I1132" s="257" t="e">
        <f>#REF!+G1132</f>
        <v>#REF!</v>
      </c>
      <c r="J1132" s="257" t="e">
        <f t="shared" si="555"/>
        <v>#REF!</v>
      </c>
      <c r="K1132" s="257" t="e">
        <f>#REF!+I1132</f>
        <v>#REF!</v>
      </c>
      <c r="L1132" s="257" t="e">
        <f t="shared" si="558"/>
        <v>#REF!</v>
      </c>
      <c r="M1132" s="257"/>
      <c r="N1132" s="257" t="e">
        <f t="shared" si="556"/>
        <v>#REF!</v>
      </c>
    </row>
    <row r="1133" spans="1:14" ht="12.75" hidden="1" customHeight="1" x14ac:dyDescent="0.2">
      <c r="A1133" s="259" t="s">
        <v>105</v>
      </c>
      <c r="B1133" s="271">
        <v>801</v>
      </c>
      <c r="C1133" s="252" t="s">
        <v>205</v>
      </c>
      <c r="D1133" s="252" t="s">
        <v>192</v>
      </c>
      <c r="E1133" s="252" t="s">
        <v>5</v>
      </c>
      <c r="F1133" s="252" t="s">
        <v>106</v>
      </c>
      <c r="G1133" s="256"/>
      <c r="H1133" s="256"/>
      <c r="I1133" s="257" t="e">
        <f>#REF!+G1133</f>
        <v>#REF!</v>
      </c>
      <c r="J1133" s="257" t="e">
        <f t="shared" si="555"/>
        <v>#REF!</v>
      </c>
      <c r="K1133" s="257" t="e">
        <f>#REF!+I1133</f>
        <v>#REF!</v>
      </c>
      <c r="L1133" s="257" t="e">
        <f t="shared" si="558"/>
        <v>#REF!</v>
      </c>
      <c r="M1133" s="257"/>
      <c r="N1133" s="257" t="e">
        <f t="shared" si="556"/>
        <v>#REF!</v>
      </c>
    </row>
    <row r="1134" spans="1:14" ht="12.75" hidden="1" customHeight="1" x14ac:dyDescent="0.2">
      <c r="A1134" s="528" t="s">
        <v>149</v>
      </c>
      <c r="B1134" s="526"/>
      <c r="C1134" s="526"/>
      <c r="D1134" s="526"/>
      <c r="E1134" s="526"/>
      <c r="F1134" s="526"/>
      <c r="G1134" s="256"/>
      <c r="H1134" s="256"/>
      <c r="I1134" s="257" t="e">
        <f>#REF!+G1134</f>
        <v>#REF!</v>
      </c>
      <c r="J1134" s="257" t="e">
        <f t="shared" si="555"/>
        <v>#REF!</v>
      </c>
      <c r="K1134" s="257" t="e">
        <f>#REF!+I1134</f>
        <v>#REF!</v>
      </c>
      <c r="L1134" s="257" t="e">
        <f t="shared" si="558"/>
        <v>#REF!</v>
      </c>
      <c r="M1134" s="257"/>
      <c r="N1134" s="257" t="e">
        <f t="shared" si="556"/>
        <v>#REF!</v>
      </c>
    </row>
    <row r="1135" spans="1:14" ht="15" hidden="1" x14ac:dyDescent="0.2">
      <c r="A1135" s="259" t="s">
        <v>404</v>
      </c>
      <c r="B1135" s="271">
        <v>801</v>
      </c>
      <c r="C1135" s="252" t="s">
        <v>205</v>
      </c>
      <c r="D1135" s="252" t="s">
        <v>192</v>
      </c>
      <c r="E1135" s="252" t="s">
        <v>62</v>
      </c>
      <c r="F1135" s="252"/>
      <c r="G1135" s="256"/>
      <c r="H1135" s="256"/>
      <c r="I1135" s="257" t="e">
        <f>I1138</f>
        <v>#REF!</v>
      </c>
      <c r="J1135" s="257" t="e">
        <f t="shared" si="555"/>
        <v>#REF!</v>
      </c>
      <c r="K1135" s="257" t="e">
        <f>K1138</f>
        <v>#REF!</v>
      </c>
      <c r="L1135" s="257" t="e">
        <f t="shared" si="558"/>
        <v>#REF!</v>
      </c>
      <c r="M1135" s="257"/>
      <c r="N1135" s="257" t="e">
        <f t="shared" si="556"/>
        <v>#REF!</v>
      </c>
    </row>
    <row r="1136" spans="1:14" ht="15" hidden="1" x14ac:dyDescent="0.2">
      <c r="A1136" s="259" t="s">
        <v>547</v>
      </c>
      <c r="B1136" s="271">
        <v>801</v>
      </c>
      <c r="C1136" s="252" t="s">
        <v>205</v>
      </c>
      <c r="D1136" s="252" t="s">
        <v>192</v>
      </c>
      <c r="E1136" s="252" t="s">
        <v>173</v>
      </c>
      <c r="F1136" s="252"/>
      <c r="G1136" s="256"/>
      <c r="H1136" s="256"/>
      <c r="I1136" s="257" t="e">
        <f>I1137</f>
        <v>#REF!</v>
      </c>
      <c r="J1136" s="257" t="e">
        <f t="shared" si="555"/>
        <v>#REF!</v>
      </c>
      <c r="K1136" s="257" t="e">
        <f>K1137</f>
        <v>#REF!</v>
      </c>
      <c r="L1136" s="257" t="e">
        <f t="shared" si="558"/>
        <v>#REF!</v>
      </c>
      <c r="M1136" s="257"/>
      <c r="N1136" s="257" t="e">
        <f t="shared" si="556"/>
        <v>#REF!</v>
      </c>
    </row>
    <row r="1137" spans="1:14" ht="15" hidden="1" x14ac:dyDescent="0.2">
      <c r="A1137" s="259" t="s">
        <v>93</v>
      </c>
      <c r="B1137" s="271">
        <v>801</v>
      </c>
      <c r="C1137" s="252" t="s">
        <v>205</v>
      </c>
      <c r="D1137" s="252" t="s">
        <v>192</v>
      </c>
      <c r="E1137" s="252" t="s">
        <v>173</v>
      </c>
      <c r="F1137" s="252" t="s">
        <v>94</v>
      </c>
      <c r="G1137" s="256"/>
      <c r="H1137" s="256"/>
      <c r="I1137" s="257" t="e">
        <f>#REF!+G1137</f>
        <v>#REF!</v>
      </c>
      <c r="J1137" s="257" t="e">
        <f t="shared" si="555"/>
        <v>#REF!</v>
      </c>
      <c r="K1137" s="257" t="e">
        <f>H1137+I1137</f>
        <v>#REF!</v>
      </c>
      <c r="L1137" s="257" t="e">
        <f t="shared" si="558"/>
        <v>#REF!</v>
      </c>
      <c r="M1137" s="257"/>
      <c r="N1137" s="257" t="e">
        <f t="shared" si="556"/>
        <v>#REF!</v>
      </c>
    </row>
    <row r="1138" spans="1:14" ht="21" hidden="1" customHeight="1" x14ac:dyDescent="0.2">
      <c r="A1138" s="259" t="s">
        <v>421</v>
      </c>
      <c r="B1138" s="271">
        <v>801</v>
      </c>
      <c r="C1138" s="252" t="s">
        <v>205</v>
      </c>
      <c r="D1138" s="252" t="s">
        <v>192</v>
      </c>
      <c r="E1138" s="252" t="s">
        <v>429</v>
      </c>
      <c r="F1138" s="252"/>
      <c r="G1138" s="256"/>
      <c r="H1138" s="256"/>
      <c r="I1138" s="257" t="e">
        <f>#REF!</f>
        <v>#REF!</v>
      </c>
      <c r="J1138" s="257" t="e">
        <f t="shared" si="555"/>
        <v>#REF!</v>
      </c>
      <c r="K1138" s="257" t="e">
        <f>#REF!</f>
        <v>#REF!</v>
      </c>
      <c r="L1138" s="257" t="e">
        <f t="shared" si="558"/>
        <v>#REF!</v>
      </c>
      <c r="M1138" s="257"/>
      <c r="N1138" s="257" t="e">
        <f t="shared" si="556"/>
        <v>#REF!</v>
      </c>
    </row>
    <row r="1139" spans="1:14" ht="30" customHeight="1" x14ac:dyDescent="0.2">
      <c r="A1139" s="259" t="s">
        <v>76</v>
      </c>
      <c r="B1139" s="271">
        <v>801</v>
      </c>
      <c r="C1139" s="252" t="s">
        <v>205</v>
      </c>
      <c r="D1139" s="252" t="s">
        <v>192</v>
      </c>
      <c r="E1139" s="252" t="s">
        <v>786</v>
      </c>
      <c r="F1139" s="252" t="s">
        <v>77</v>
      </c>
      <c r="G1139" s="256"/>
      <c r="H1139" s="257">
        <v>2384</v>
      </c>
      <c r="I1139" s="257">
        <v>232.27</v>
      </c>
      <c r="J1139" s="257">
        <f t="shared" si="555"/>
        <v>2616.27</v>
      </c>
      <c r="K1139" s="257">
        <v>0</v>
      </c>
      <c r="L1139" s="257">
        <v>3390</v>
      </c>
      <c r="M1139" s="257">
        <v>-560</v>
      </c>
      <c r="N1139" s="257">
        <f>L1139+M1139</f>
        <v>2830</v>
      </c>
    </row>
    <row r="1140" spans="1:14" ht="21" customHeight="1" x14ac:dyDescent="0.2">
      <c r="A1140" s="259" t="s">
        <v>78</v>
      </c>
      <c r="B1140" s="271">
        <v>801</v>
      </c>
      <c r="C1140" s="252" t="s">
        <v>205</v>
      </c>
      <c r="D1140" s="252" t="s">
        <v>192</v>
      </c>
      <c r="E1140" s="252" t="s">
        <v>828</v>
      </c>
      <c r="F1140" s="252" t="s">
        <v>79</v>
      </c>
      <c r="G1140" s="256"/>
      <c r="H1140" s="257">
        <v>0</v>
      </c>
      <c r="I1140" s="257">
        <v>120</v>
      </c>
      <c r="J1140" s="257">
        <f>H1140+I1140</f>
        <v>120</v>
      </c>
      <c r="K1140" s="257">
        <v>220</v>
      </c>
      <c r="L1140" s="257">
        <v>0</v>
      </c>
      <c r="M1140" s="257"/>
      <c r="N1140" s="257">
        <f t="shared" ref="N1140:N1141" si="559">L1140+M1140</f>
        <v>0</v>
      </c>
    </row>
    <row r="1141" spans="1:14" ht="15" x14ac:dyDescent="0.2">
      <c r="A1141" s="259" t="s">
        <v>290</v>
      </c>
      <c r="B1141" s="252"/>
      <c r="C1141" s="252" t="s">
        <v>291</v>
      </c>
      <c r="D1141" s="252" t="s">
        <v>291</v>
      </c>
      <c r="E1141" s="252" t="s">
        <v>968</v>
      </c>
      <c r="F1141" s="252" t="s">
        <v>266</v>
      </c>
      <c r="G1141" s="256"/>
      <c r="H1141" s="257">
        <v>0</v>
      </c>
      <c r="I1141" s="257">
        <v>0</v>
      </c>
      <c r="J1141" s="257">
        <v>0</v>
      </c>
      <c r="K1141" s="257">
        <v>0</v>
      </c>
      <c r="L1141" s="257">
        <v>5652</v>
      </c>
      <c r="M1141" s="257">
        <v>-5652</v>
      </c>
      <c r="N1141" s="257">
        <f t="shared" si="559"/>
        <v>0</v>
      </c>
    </row>
    <row r="1142" spans="1:14" s="21" customFormat="1" ht="15.75" x14ac:dyDescent="0.2">
      <c r="A1142" s="399" t="s">
        <v>267</v>
      </c>
      <c r="B1142" s="400"/>
      <c r="C1142" s="401"/>
      <c r="D1142" s="401"/>
      <c r="E1142" s="401"/>
      <c r="F1142" s="401"/>
      <c r="G1142" s="402"/>
      <c r="H1142" s="245" t="e">
        <f>H10+H207+H338+H490+H542</f>
        <v>#REF!</v>
      </c>
      <c r="I1142" s="245" t="e">
        <f>I10+I207+I338+I490+I542</f>
        <v>#REF!</v>
      </c>
      <c r="J1142" s="245" t="e">
        <f>J10+J207+J338+J490+J542</f>
        <v>#REF!</v>
      </c>
      <c r="K1142" s="245" t="e">
        <f>K10+K207+K338+K490+K542</f>
        <v>#REF!</v>
      </c>
      <c r="L1142" s="245">
        <f>L10+L207+L338+L490+L542+L1141</f>
        <v>434760.96000000002</v>
      </c>
      <c r="M1142" s="245">
        <f>M10+M207+M338+M490+M542+M1141</f>
        <v>75297.540000000008</v>
      </c>
      <c r="N1142" s="245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1"/>
      <c r="L1147" s="281"/>
      <c r="M1147" s="281"/>
      <c r="N1147" s="281"/>
    </row>
    <row r="1148" spans="1:14" s="14" customFormat="1" ht="12.75" hidden="1" customHeight="1" x14ac:dyDescent="0.2">
      <c r="A1148" s="24"/>
      <c r="B1148" s="527"/>
      <c r="C1148" s="26"/>
      <c r="D1148" s="26"/>
      <c r="E1148" s="26"/>
      <c r="F1148" s="26"/>
      <c r="G1148" s="25"/>
      <c r="H1148" s="25"/>
      <c r="I1148" s="25"/>
      <c r="J1148" s="25"/>
      <c r="K1148" s="281"/>
      <c r="L1148" s="281"/>
      <c r="M1148" s="281"/>
      <c r="N1148" s="281"/>
    </row>
    <row r="1149" spans="1:14" s="14" customFormat="1" ht="12.75" hidden="1" customHeight="1" x14ac:dyDescent="0.2">
      <c r="A1149" s="24"/>
      <c r="B1149" s="527"/>
      <c r="C1149" s="26"/>
      <c r="D1149" s="26"/>
      <c r="E1149" s="26"/>
      <c r="F1149" s="26"/>
      <c r="G1149" s="25"/>
      <c r="H1149" s="25"/>
      <c r="I1149" s="25"/>
      <c r="J1149" s="25"/>
      <c r="K1149" s="281"/>
      <c r="L1149" s="281"/>
      <c r="M1149" s="281"/>
      <c r="N1149" s="281"/>
    </row>
    <row r="1150" spans="1:14" s="14" customFormat="1" ht="12.75" hidden="1" customHeight="1" x14ac:dyDescent="0.2">
      <c r="A1150" s="24"/>
      <c r="B1150" s="527"/>
      <c r="C1150" s="26"/>
      <c r="D1150" s="26"/>
      <c r="E1150" s="26"/>
      <c r="F1150" s="26"/>
      <c r="G1150" s="26"/>
      <c r="H1150" s="26"/>
      <c r="I1150" s="26"/>
      <c r="J1150" s="26"/>
      <c r="K1150" s="282"/>
      <c r="L1150" s="282"/>
      <c r="M1150" s="282"/>
      <c r="N1150" s="282"/>
    </row>
    <row r="1151" spans="1:14" s="14" customFormat="1" ht="12.75" hidden="1" customHeight="1" x14ac:dyDescent="0.2">
      <c r="A1151" s="24"/>
      <c r="B1151" s="527"/>
      <c r="C1151" s="29"/>
      <c r="D1151" s="29"/>
      <c r="E1151" s="26"/>
      <c r="F1151" s="26"/>
      <c r="G1151" s="26"/>
      <c r="H1151" s="26"/>
      <c r="I1151" s="26"/>
      <c r="J1151" s="26"/>
      <c r="K1151" s="282"/>
      <c r="L1151" s="282"/>
      <c r="M1151" s="282"/>
      <c r="N1151" s="282"/>
    </row>
    <row r="1152" spans="1:14" s="14" customFormat="1" ht="12.75" hidden="1" customHeight="1" x14ac:dyDescent="0.2">
      <c r="A1152" s="24"/>
      <c r="B1152" s="527"/>
      <c r="C1152" s="29"/>
      <c r="D1152" s="29"/>
      <c r="E1152" s="26"/>
      <c r="F1152" s="26"/>
      <c r="G1152" s="26"/>
      <c r="H1152" s="26"/>
      <c r="I1152" s="26"/>
      <c r="J1152" s="26"/>
      <c r="K1152" s="282"/>
      <c r="L1152" s="282"/>
      <c r="M1152" s="282"/>
      <c r="N1152" s="282"/>
    </row>
    <row r="1153" spans="1:14" s="14" customFormat="1" ht="12.75" hidden="1" customHeight="1" x14ac:dyDescent="0.2">
      <c r="A1153" s="24"/>
      <c r="B1153" s="527"/>
      <c r="C1153" s="27"/>
      <c r="D1153" s="27"/>
      <c r="E1153" s="26"/>
      <c r="F1153" s="26"/>
      <c r="G1153" s="29"/>
      <c r="H1153" s="29"/>
      <c r="I1153" s="29"/>
      <c r="J1153" s="29"/>
      <c r="K1153" s="282"/>
      <c r="L1153" s="282"/>
      <c r="M1153" s="282"/>
      <c r="N1153" s="282"/>
    </row>
    <row r="1154" spans="1:14" s="14" customFormat="1" ht="12.75" hidden="1" customHeight="1" x14ac:dyDescent="0.2">
      <c r="A1154" s="24"/>
      <c r="B1154" s="527"/>
      <c r="C1154" s="27"/>
      <c r="D1154" s="27"/>
      <c r="E1154" s="26"/>
      <c r="F1154" s="26"/>
      <c r="G1154" s="29"/>
      <c r="H1154" s="29"/>
      <c r="I1154" s="29"/>
      <c r="J1154" s="29"/>
      <c r="K1154" s="282"/>
      <c r="L1154" s="282"/>
      <c r="M1154" s="282"/>
      <c r="N1154" s="282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2"/>
      <c r="L1155" s="282"/>
      <c r="M1155" s="282"/>
      <c r="N1155" s="282"/>
    </row>
    <row r="1156" spans="1:14" ht="12.75" hidden="1" customHeight="1" x14ac:dyDescent="0.2">
      <c r="B1156" s="527"/>
      <c r="C1156" s="26"/>
      <c r="D1156" s="26"/>
      <c r="E1156" s="27"/>
      <c r="F1156" s="27"/>
      <c r="G1156" s="27"/>
      <c r="H1156" s="27"/>
      <c r="I1156" s="27"/>
      <c r="J1156" s="27"/>
      <c r="K1156" s="282"/>
      <c r="L1156" s="282"/>
      <c r="M1156" s="282"/>
      <c r="N1156" s="282"/>
    </row>
    <row r="1157" spans="1:14" ht="12.75" hidden="1" customHeight="1" x14ac:dyDescent="0.2">
      <c r="B1157" s="527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7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7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7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7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7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7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3"/>
      <c r="L1164" s="283"/>
      <c r="M1164" s="283"/>
      <c r="N1164" s="283"/>
    </row>
    <row r="1165" spans="1:14" ht="12.75" hidden="1" customHeight="1" x14ac:dyDescent="0.2">
      <c r="A1165" s="16"/>
      <c r="G1165" s="28"/>
      <c r="H1165" s="28"/>
      <c r="I1165" s="28"/>
      <c r="J1165" s="28"/>
      <c r="K1165" s="283"/>
      <c r="L1165" s="283"/>
      <c r="M1165" s="283"/>
      <c r="N1165" s="283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6" t="e">
        <f>#REF!+#REF!+#REF!+#REF!+#REF!+#REF!+#REF!+#REF!+#REF!+#REF!+#REF!+#REF!+#REF!+#REF!+#REF!+#REF!</f>
        <v>#REF!</v>
      </c>
      <c r="H1174" s="286"/>
      <c r="I1174" s="286" t="s">
        <v>714</v>
      </c>
      <c r="J1174" s="286">
        <v>378982.07</v>
      </c>
    </row>
    <row r="1175" spans="1:10" hidden="1" x14ac:dyDescent="0.2">
      <c r="G1175" s="286" t="e">
        <f>#REF!+#REF!+#REF!+#REF!+#REF!</f>
        <v>#REF!</v>
      </c>
      <c r="H1175" s="286"/>
      <c r="I1175" s="286" t="s">
        <v>713</v>
      </c>
      <c r="J1175" s="286">
        <f>J1174*3/100</f>
        <v>11369.462099999999</v>
      </c>
    </row>
    <row r="1176" spans="1:10" hidden="1" x14ac:dyDescent="0.2">
      <c r="I1176" s="276" t="s">
        <v>715</v>
      </c>
      <c r="J1176" s="276" t="e">
        <f>J1174-J1142</f>
        <v>#REF!</v>
      </c>
    </row>
    <row r="1177" spans="1:10" hidden="1" x14ac:dyDescent="0.2">
      <c r="A1177" s="16"/>
      <c r="C1177" s="276"/>
      <c r="D1177" s="276"/>
      <c r="E1177" s="276"/>
      <c r="F1177" s="276"/>
      <c r="G1177" s="286" t="e">
        <f>G1174+G1175</f>
        <v>#REF!</v>
      </c>
      <c r="H1177" s="286"/>
      <c r="I1177" s="286"/>
      <c r="J1177" s="286"/>
    </row>
    <row r="1178" spans="1:10" hidden="1" x14ac:dyDescent="0.2">
      <c r="A1178" s="16"/>
      <c r="C1178" s="276"/>
      <c r="D1178" s="276"/>
      <c r="E1178" s="276"/>
      <c r="F1178" s="276"/>
      <c r="G1178" s="286" t="e">
        <f>#REF!-G1177</f>
        <v>#REF!</v>
      </c>
      <c r="H1178" s="286"/>
      <c r="I1178" s="286"/>
      <c r="J1178" s="286"/>
    </row>
    <row r="1179" spans="1:10" hidden="1" x14ac:dyDescent="0.2">
      <c r="A1179" s="16"/>
      <c r="C1179" s="276"/>
      <c r="D1179" s="276"/>
      <c r="E1179" s="276"/>
      <c r="F1179" s="276"/>
    </row>
    <row r="1180" spans="1:10" hidden="1" x14ac:dyDescent="0.2">
      <c r="A1180" s="16"/>
      <c r="C1180" s="276"/>
      <c r="D1180" s="276"/>
      <c r="E1180" s="276"/>
      <c r="F1180" s="276"/>
    </row>
    <row r="1181" spans="1:10" hidden="1" x14ac:dyDescent="0.2">
      <c r="A1181" s="16"/>
      <c r="C1181" s="276"/>
      <c r="D1181" s="276"/>
      <c r="E1181" s="276"/>
      <c r="F1181" s="276"/>
    </row>
    <row r="1182" spans="1:10" hidden="1" x14ac:dyDescent="0.2"/>
    <row r="1183" spans="1:10" hidden="1" x14ac:dyDescent="0.2">
      <c r="G1183" s="276">
        <v>178599.7</v>
      </c>
    </row>
    <row r="1184" spans="1:10" hidden="1" x14ac:dyDescent="0.2">
      <c r="G1184" s="286" t="e">
        <f>G1177-G1183</f>
        <v>#REF!</v>
      </c>
      <c r="H1184" s="286"/>
      <c r="I1184" s="286"/>
      <c r="J1184" s="286"/>
    </row>
    <row r="1185" spans="1:10" hidden="1" x14ac:dyDescent="0.2"/>
    <row r="1186" spans="1:10" hidden="1" x14ac:dyDescent="0.2">
      <c r="A1186" s="16"/>
      <c r="C1186" s="276"/>
      <c r="D1186" s="276"/>
      <c r="E1186" s="276"/>
      <c r="F1186" s="276"/>
      <c r="J1186" s="276" t="e">
        <f>J1187-J1142</f>
        <v>#REF!</v>
      </c>
    </row>
    <row r="1187" spans="1:10" hidden="1" x14ac:dyDescent="0.2">
      <c r="A1187" s="16"/>
      <c r="C1187" s="276"/>
      <c r="D1187" s="276"/>
      <c r="E1187" s="276"/>
      <c r="F1187" s="276"/>
      <c r="J1187" s="276">
        <v>373454.01</v>
      </c>
    </row>
    <row r="1188" spans="1:10" hidden="1" x14ac:dyDescent="0.2">
      <c r="A1188" s="16"/>
      <c r="C1188" s="276"/>
      <c r="D1188" s="276"/>
      <c r="E1188" s="276"/>
      <c r="F1188" s="276"/>
      <c r="J1188" s="276">
        <v>0.05</v>
      </c>
    </row>
    <row r="1189" spans="1:10" hidden="1" x14ac:dyDescent="0.2">
      <c r="A1189" s="16"/>
      <c r="C1189" s="276"/>
      <c r="D1189" s="276"/>
      <c r="E1189" s="276"/>
      <c r="F1189" s="276"/>
      <c r="J1189" s="276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3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3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3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3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3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3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3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3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3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3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3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3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3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7" style="97" customWidth="1"/>
  </cols>
  <sheetData>
    <row r="1" spans="1:5" x14ac:dyDescent="0.2">
      <c r="D1" s="169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99" customFormat="1" ht="20.25" customHeight="1" x14ac:dyDescent="0.25">
      <c r="A4" s="515" t="s">
        <v>689</v>
      </c>
      <c r="B4" s="515"/>
      <c r="C4" s="515"/>
      <c r="D4" s="515"/>
    </row>
    <row r="5" spans="1:5" s="99" customFormat="1" ht="33" customHeight="1" x14ac:dyDescent="0.25">
      <c r="A5" s="539"/>
      <c r="B5" s="539"/>
      <c r="C5" s="539"/>
      <c r="D5" s="539"/>
    </row>
    <row r="6" spans="1:5" ht="17.25" customHeight="1" x14ac:dyDescent="0.2">
      <c r="D6" s="170" t="s">
        <v>549</v>
      </c>
    </row>
    <row r="7" spans="1:5" s="99" customFormat="1" ht="18" customHeight="1" x14ac:dyDescent="0.25">
      <c r="A7" s="540" t="s">
        <v>580</v>
      </c>
      <c r="B7" s="540" t="s">
        <v>587</v>
      </c>
      <c r="C7" s="542" t="s">
        <v>582</v>
      </c>
      <c r="D7" s="543"/>
    </row>
    <row r="8" spans="1:5" s="99" customFormat="1" ht="36.75" customHeight="1" x14ac:dyDescent="0.25">
      <c r="A8" s="541"/>
      <c r="B8" s="541"/>
      <c r="C8" s="171" t="s">
        <v>584</v>
      </c>
      <c r="D8" s="171" t="s">
        <v>585</v>
      </c>
    </row>
    <row r="9" spans="1:5" s="57" customFormat="1" x14ac:dyDescent="0.2">
      <c r="A9" s="172"/>
      <c r="B9" s="173"/>
      <c r="C9" s="173"/>
      <c r="D9" s="173"/>
    </row>
    <row r="10" spans="1:5" s="57" customFormat="1" x14ac:dyDescent="0.2">
      <c r="A10" s="172"/>
      <c r="B10" s="173"/>
      <c r="C10" s="173"/>
      <c r="D10" s="173"/>
    </row>
    <row r="11" spans="1:5" s="57" customFormat="1" x14ac:dyDescent="0.2">
      <c r="A11" s="172"/>
      <c r="B11" s="173"/>
      <c r="C11" s="173"/>
      <c r="D11" s="173"/>
    </row>
    <row r="12" spans="1:5" s="57" customFormat="1" x14ac:dyDescent="0.2">
      <c r="A12" s="173" t="s">
        <v>171</v>
      </c>
      <c r="B12" s="173"/>
      <c r="C12" s="173"/>
      <c r="D12" s="173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8" style="97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8"/>
      <c r="D2" s="46" t="s">
        <v>446</v>
      </c>
      <c r="E2" s="43"/>
    </row>
    <row r="3" spans="1:5" ht="16.5" customHeight="1" x14ac:dyDescent="0.2">
      <c r="C3" s="98"/>
      <c r="D3" s="98"/>
    </row>
    <row r="4" spans="1:5" s="99" customFormat="1" ht="18" x14ac:dyDescent="0.25">
      <c r="A4" s="515" t="s">
        <v>690</v>
      </c>
      <c r="B4" s="515"/>
      <c r="C4" s="515"/>
      <c r="D4" s="515"/>
    </row>
    <row r="5" spans="1:5" s="99" customFormat="1" ht="35.25" customHeight="1" x14ac:dyDescent="0.25">
      <c r="A5" s="539"/>
      <c r="B5" s="539"/>
      <c r="C5" s="539"/>
      <c r="D5" s="539"/>
    </row>
    <row r="6" spans="1:5" x14ac:dyDescent="0.2">
      <c r="D6" s="170" t="s">
        <v>549</v>
      </c>
    </row>
    <row r="7" spans="1:5" s="99" customFormat="1" ht="19.5" customHeight="1" x14ac:dyDescent="0.25">
      <c r="A7" s="540" t="s">
        <v>580</v>
      </c>
      <c r="B7" s="544" t="s">
        <v>587</v>
      </c>
      <c r="C7" s="545" t="s">
        <v>582</v>
      </c>
      <c r="D7" s="545"/>
    </row>
    <row r="8" spans="1:5" s="99" customFormat="1" ht="40.5" customHeight="1" x14ac:dyDescent="0.25">
      <c r="A8" s="541"/>
      <c r="B8" s="544"/>
      <c r="C8" s="174" t="s">
        <v>584</v>
      </c>
      <c r="D8" s="171" t="s">
        <v>585</v>
      </c>
    </row>
    <row r="9" spans="1:5" s="57" customFormat="1" x14ac:dyDescent="0.2">
      <c r="A9" s="172"/>
      <c r="B9" s="173"/>
      <c r="C9" s="173"/>
      <c r="D9" s="173"/>
    </row>
    <row r="10" spans="1:5" s="57" customFormat="1" x14ac:dyDescent="0.2">
      <c r="A10" s="172"/>
      <c r="B10" s="173"/>
      <c r="C10" s="173"/>
      <c r="D10" s="173"/>
    </row>
    <row r="11" spans="1:5" s="57" customFormat="1" x14ac:dyDescent="0.2">
      <c r="A11" s="172"/>
      <c r="B11" s="173"/>
      <c r="C11" s="173"/>
      <c r="D11" s="173"/>
    </row>
    <row r="12" spans="1:5" s="57" customFormat="1" x14ac:dyDescent="0.2">
      <c r="A12" s="173" t="s">
        <v>171</v>
      </c>
      <c r="B12" s="173"/>
      <c r="C12" s="173"/>
      <c r="D12" s="173"/>
    </row>
    <row r="13" spans="1:5" s="2" customFormat="1" x14ac:dyDescent="0.2">
      <c r="A13" s="100"/>
      <c r="B13" s="100"/>
      <c r="C13" s="100"/>
      <c r="D13" s="100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7" customWidth="1"/>
    <col min="2" max="2" width="16.7109375" style="97" customWidth="1"/>
    <col min="3" max="3" width="12.85546875" style="97" customWidth="1"/>
    <col min="4" max="4" width="37.85546875" style="97" customWidth="1"/>
  </cols>
  <sheetData>
    <row r="1" spans="1:5" x14ac:dyDescent="0.2">
      <c r="D1" s="169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8"/>
      <c r="D3" s="98"/>
      <c r="E3" s="5"/>
    </row>
    <row r="4" spans="1:5" ht="39.75" customHeight="1" x14ac:dyDescent="0.2">
      <c r="A4" s="515" t="s">
        <v>691</v>
      </c>
      <c r="B4" s="515"/>
      <c r="C4" s="515"/>
      <c r="D4" s="515"/>
    </row>
    <row r="5" spans="1:5" ht="17.25" customHeight="1" x14ac:dyDescent="0.2">
      <c r="D5" s="170" t="s">
        <v>549</v>
      </c>
    </row>
    <row r="6" spans="1:5" s="44" customFormat="1" ht="21.75" customHeight="1" x14ac:dyDescent="0.3">
      <c r="A6" s="546" t="s">
        <v>580</v>
      </c>
      <c r="B6" s="546" t="s">
        <v>586</v>
      </c>
      <c r="C6" s="548" t="s">
        <v>582</v>
      </c>
      <c r="D6" s="549"/>
    </row>
    <row r="7" spans="1:5" s="44" customFormat="1" ht="50.25" customHeight="1" x14ac:dyDescent="0.3">
      <c r="A7" s="547"/>
      <c r="B7" s="547"/>
      <c r="C7" s="49" t="s">
        <v>584</v>
      </c>
      <c r="D7" s="171" t="s">
        <v>585</v>
      </c>
    </row>
    <row r="8" spans="1:5" s="44" customFormat="1" ht="18.75" x14ac:dyDescent="0.3">
      <c r="A8" s="172" t="s">
        <v>711</v>
      </c>
      <c r="B8" s="239">
        <f>C8+D8</f>
        <v>200</v>
      </c>
      <c r="C8" s="239">
        <v>200</v>
      </c>
      <c r="D8" s="239"/>
    </row>
    <row r="9" spans="1:5" s="44" customFormat="1" ht="18.75" x14ac:dyDescent="0.3">
      <c r="A9" s="172" t="s">
        <v>712</v>
      </c>
      <c r="B9" s="239"/>
      <c r="C9" s="239"/>
      <c r="D9" s="239"/>
    </row>
    <row r="10" spans="1:5" s="44" customFormat="1" ht="18.75" x14ac:dyDescent="0.3">
      <c r="A10" s="172"/>
      <c r="B10" s="239"/>
      <c r="C10" s="239"/>
      <c r="D10" s="239"/>
    </row>
    <row r="11" spans="1:5" s="44" customFormat="1" ht="18.75" x14ac:dyDescent="0.3">
      <c r="A11" s="173" t="s">
        <v>171</v>
      </c>
      <c r="B11" s="239">
        <f>B8+B9+B10</f>
        <v>200</v>
      </c>
      <c r="C11" s="239">
        <f>C8+C9+C10</f>
        <v>200</v>
      </c>
      <c r="D11" s="239">
        <f>D8+D9+D10</f>
        <v>0</v>
      </c>
    </row>
    <row r="12" spans="1:5" s="57" customFormat="1" x14ac:dyDescent="0.2">
      <c r="A12" s="97"/>
      <c r="B12" s="97"/>
      <c r="C12" s="97"/>
      <c r="D12" s="97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7" customWidth="1"/>
    <col min="2" max="2" width="19.28515625" style="97" customWidth="1"/>
    <col min="3" max="3" width="12.85546875" style="97" customWidth="1"/>
    <col min="4" max="4" width="33.42578125" style="97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6" t="s">
        <v>683</v>
      </c>
    </row>
    <row r="2" spans="1:7" ht="51.75" customHeight="1" x14ac:dyDescent="0.2">
      <c r="E2" s="5"/>
      <c r="F2" s="471" t="s">
        <v>446</v>
      </c>
      <c r="G2" s="471"/>
    </row>
    <row r="3" spans="1:7" ht="22.5" customHeight="1" x14ac:dyDescent="0.2">
      <c r="C3" s="98"/>
      <c r="D3" s="98"/>
      <c r="E3" s="5"/>
    </row>
    <row r="4" spans="1:7" ht="36.75" customHeight="1" x14ac:dyDescent="0.2">
      <c r="A4" s="515" t="s">
        <v>692</v>
      </c>
      <c r="B4" s="515"/>
      <c r="C4" s="515"/>
      <c r="D4" s="515"/>
      <c r="E4" s="515"/>
      <c r="F4" s="515"/>
      <c r="G4" s="515"/>
    </row>
    <row r="5" spans="1:7" ht="17.25" customHeight="1" x14ac:dyDescent="0.2">
      <c r="D5" s="550" t="s">
        <v>549</v>
      </c>
      <c r="E5" s="550"/>
      <c r="F5" s="550"/>
      <c r="G5" s="550"/>
    </row>
    <row r="6" spans="1:7" s="44" customFormat="1" ht="21.75" customHeight="1" x14ac:dyDescent="0.3">
      <c r="A6" s="546" t="s">
        <v>580</v>
      </c>
      <c r="B6" s="546" t="s">
        <v>581</v>
      </c>
      <c r="C6" s="548" t="s">
        <v>582</v>
      </c>
      <c r="D6" s="549"/>
      <c r="E6" s="546" t="s">
        <v>583</v>
      </c>
      <c r="F6" s="548" t="s">
        <v>582</v>
      </c>
      <c r="G6" s="549"/>
    </row>
    <row r="7" spans="1:7" s="44" customFormat="1" ht="45.75" customHeight="1" x14ac:dyDescent="0.3">
      <c r="A7" s="547"/>
      <c r="B7" s="547"/>
      <c r="C7" s="49" t="s">
        <v>584</v>
      </c>
      <c r="D7" s="171" t="s">
        <v>585</v>
      </c>
      <c r="E7" s="547"/>
      <c r="F7" s="49" t="s">
        <v>584</v>
      </c>
      <c r="G7" s="171" t="s">
        <v>585</v>
      </c>
    </row>
    <row r="8" spans="1:7" s="44" customFormat="1" ht="18.75" x14ac:dyDescent="0.3">
      <c r="A8" s="172" t="s">
        <v>712</v>
      </c>
      <c r="B8" s="173">
        <f>C8+D8</f>
        <v>3309.6</v>
      </c>
      <c r="C8" s="173">
        <v>3309.6</v>
      </c>
      <c r="D8" s="173"/>
      <c r="E8" s="173">
        <f>F8+G8</f>
        <v>0</v>
      </c>
      <c r="F8" s="173"/>
      <c r="G8" s="173"/>
    </row>
    <row r="9" spans="1:7" s="44" customFormat="1" ht="18.75" x14ac:dyDescent="0.3">
      <c r="A9" s="172"/>
      <c r="B9" s="173">
        <f>C9+D9</f>
        <v>0</v>
      </c>
      <c r="C9" s="173"/>
      <c r="D9" s="173"/>
      <c r="E9" s="173">
        <f>F9+G9</f>
        <v>0</v>
      </c>
      <c r="F9" s="173"/>
      <c r="G9" s="173"/>
    </row>
    <row r="10" spans="1:7" s="44" customFormat="1" ht="18.75" x14ac:dyDescent="0.3">
      <c r="A10" s="172"/>
      <c r="B10" s="173">
        <f>C10+D10</f>
        <v>0</v>
      </c>
      <c r="C10" s="173"/>
      <c r="D10" s="173"/>
      <c r="E10" s="173">
        <f>F10+G10</f>
        <v>0</v>
      </c>
      <c r="F10" s="173"/>
      <c r="G10" s="173"/>
    </row>
    <row r="11" spans="1:7" s="44" customFormat="1" ht="18.75" x14ac:dyDescent="0.3">
      <c r="A11" s="173" t="s">
        <v>171</v>
      </c>
      <c r="B11" s="173">
        <f>C11+D11</f>
        <v>3309.6</v>
      </c>
      <c r="C11" s="173">
        <f>C8+C9+C10</f>
        <v>3309.6</v>
      </c>
      <c r="D11" s="173">
        <f>D8+D9+D10</f>
        <v>0</v>
      </c>
      <c r="E11" s="173">
        <f>F11+G11</f>
        <v>0</v>
      </c>
      <c r="F11" s="173">
        <f>F8+F9+F10</f>
        <v>0</v>
      </c>
      <c r="G11" s="173">
        <f>G8+G9+G10</f>
        <v>0</v>
      </c>
    </row>
    <row r="12" spans="1:7" s="57" customFormat="1" x14ac:dyDescent="0.2">
      <c r="A12" s="97"/>
      <c r="B12" s="97"/>
      <c r="C12" s="97"/>
      <c r="D12" s="97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5" t="s">
        <v>693</v>
      </c>
      <c r="B4" s="515"/>
      <c r="C4" s="515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8" t="s">
        <v>552</v>
      </c>
    </row>
    <row r="7" spans="1:5" s="54" customFormat="1" x14ac:dyDescent="0.2">
      <c r="A7" s="198">
        <v>1</v>
      </c>
      <c r="B7" s="198">
        <v>2</v>
      </c>
      <c r="C7" s="198">
        <v>3</v>
      </c>
    </row>
    <row r="8" spans="1:5" s="56" customFormat="1" x14ac:dyDescent="0.2">
      <c r="A8" s="199"/>
      <c r="B8" s="199"/>
      <c r="C8" s="55"/>
    </row>
    <row r="9" spans="1:5" s="57" customFormat="1" x14ac:dyDescent="0.2">
      <c r="A9" s="200" t="s">
        <v>171</v>
      </c>
      <c r="B9" s="200" t="s">
        <v>553</v>
      </c>
      <c r="C9" s="201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5" t="s">
        <v>694</v>
      </c>
      <c r="B4" s="515"/>
      <c r="C4" s="515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8" t="s">
        <v>552</v>
      </c>
    </row>
    <row r="7" spans="1:5" s="54" customFormat="1" x14ac:dyDescent="0.2">
      <c r="A7" s="198">
        <v>1</v>
      </c>
      <c r="B7" s="198">
        <v>2</v>
      </c>
      <c r="C7" s="198">
        <v>3</v>
      </c>
    </row>
    <row r="8" spans="1:5" s="56" customFormat="1" x14ac:dyDescent="0.2">
      <c r="A8" s="199"/>
      <c r="B8" s="199"/>
      <c r="C8" s="55"/>
    </row>
    <row r="9" spans="1:5" s="57" customFormat="1" x14ac:dyDescent="0.2">
      <c r="A9" s="200" t="s">
        <v>171</v>
      </c>
      <c r="B9" s="200" t="s">
        <v>553</v>
      </c>
      <c r="C9" s="201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04"/>
  <sheetViews>
    <sheetView view="pageBreakPreview" topLeftCell="A461" zoomScale="110" zoomScaleNormal="100" zoomScaleSheetLayoutView="110" workbookViewId="0">
      <selection activeCell="A1118" sqref="A1118"/>
    </sheetView>
  </sheetViews>
  <sheetFormatPr defaultRowHeight="15" x14ac:dyDescent="0.2"/>
  <cols>
    <col min="1" max="1" width="101.7109375" style="244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63" hidden="1" customWidth="1"/>
    <col min="8" max="8" width="14.28515625" style="463" hidden="1" customWidth="1"/>
    <col min="9" max="9" width="14.7109375" style="463" hidden="1" customWidth="1"/>
    <col min="10" max="10" width="16.42578125" style="463" hidden="1" customWidth="1"/>
    <col min="11" max="12" width="15.85546875" style="16" hidden="1" customWidth="1"/>
    <col min="13" max="13" width="13.5703125" style="16" hidden="1" customWidth="1"/>
    <col min="14" max="14" width="13.28515625" style="377" hidden="1" customWidth="1"/>
    <col min="15" max="15" width="15.85546875" style="377" hidden="1" customWidth="1"/>
    <col min="16" max="16" width="13.42578125" style="377" hidden="1" customWidth="1"/>
    <col min="17" max="19" width="15.5703125" style="377" hidden="1" customWidth="1"/>
    <col min="20" max="20" width="14.85546875" style="377" hidden="1" customWidth="1"/>
    <col min="21" max="21" width="15.5703125" style="377" hidden="1" customWidth="1"/>
    <col min="22" max="22" width="16.85546875" style="377" hidden="1" customWidth="1"/>
    <col min="23" max="23" width="3.5703125" style="427" hidden="1" customWidth="1"/>
    <col min="24" max="24" width="14.85546875" style="427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29"/>
      <c r="F1" s="529"/>
      <c r="G1" s="529"/>
      <c r="H1" s="529"/>
      <c r="I1" s="529"/>
      <c r="J1" s="529"/>
      <c r="K1" s="529"/>
      <c r="L1" s="529"/>
      <c r="M1" s="529"/>
      <c r="O1" s="529"/>
      <c r="P1" s="529"/>
      <c r="Q1" s="16"/>
      <c r="R1" s="556"/>
      <c r="S1" s="556"/>
      <c r="T1" s="556"/>
      <c r="U1" s="529"/>
      <c r="V1" s="529"/>
      <c r="W1" s="558"/>
      <c r="X1" s="558"/>
      <c r="Z1" s="16" t="s">
        <v>1215</v>
      </c>
    </row>
    <row r="2" spans="1:26" ht="51.75" customHeight="1" x14ac:dyDescent="0.2"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537"/>
      <c r="V2" s="537"/>
      <c r="W2" s="557"/>
      <c r="X2" s="557"/>
      <c r="Y2" s="557" t="s">
        <v>1218</v>
      </c>
      <c r="Z2" s="557"/>
    </row>
    <row r="4" spans="1:26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</row>
    <row r="5" spans="1:26" ht="18.75" customHeight="1" x14ac:dyDescent="0.2">
      <c r="A5" s="530" t="s">
        <v>1228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</row>
    <row r="6" spans="1:26" ht="15.75" x14ac:dyDescent="0.2">
      <c r="A6" s="538"/>
      <c r="B6" s="538"/>
      <c r="C6" s="538"/>
      <c r="D6" s="538"/>
      <c r="E6" s="538"/>
      <c r="F6" s="538"/>
      <c r="Z6" s="437" t="s">
        <v>549</v>
      </c>
    </row>
    <row r="7" spans="1:26" s="463" customFormat="1" ht="45" x14ac:dyDescent="0.2">
      <c r="A7" s="249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/>
      <c r="H7" s="252" t="s">
        <v>445</v>
      </c>
      <c r="I7" s="253" t="s">
        <v>188</v>
      </c>
      <c r="J7" s="253" t="s">
        <v>412</v>
      </c>
      <c r="K7" s="253" t="s">
        <v>188</v>
      </c>
      <c r="L7" s="253" t="s">
        <v>967</v>
      </c>
      <c r="M7" s="253" t="s">
        <v>966</v>
      </c>
      <c r="N7" s="249" t="s">
        <v>1010</v>
      </c>
      <c r="O7" s="251" t="s">
        <v>966</v>
      </c>
      <c r="P7" s="251" t="s">
        <v>1009</v>
      </c>
      <c r="Q7" s="253" t="s">
        <v>1010</v>
      </c>
      <c r="R7" s="251" t="s">
        <v>1009</v>
      </c>
      <c r="S7" s="253" t="s">
        <v>1010</v>
      </c>
      <c r="T7" s="251" t="s">
        <v>1039</v>
      </c>
      <c r="U7" s="253" t="s">
        <v>1010</v>
      </c>
      <c r="V7" s="251" t="s">
        <v>1049</v>
      </c>
      <c r="W7" s="441" t="s">
        <v>1010</v>
      </c>
      <c r="X7" s="441" t="s">
        <v>1170</v>
      </c>
      <c r="Y7" s="441" t="s">
        <v>1010</v>
      </c>
      <c r="Z7" s="441" t="s">
        <v>1170</v>
      </c>
    </row>
    <row r="8" spans="1:26" s="463" customFormat="1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426"/>
      <c r="X8" s="426"/>
      <c r="Y8" s="426"/>
      <c r="Z8" s="426"/>
    </row>
    <row r="9" spans="1:26" s="463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1"/>
      <c r="H9" s="251">
        <v>7</v>
      </c>
      <c r="I9" s="253">
        <v>7</v>
      </c>
      <c r="J9" s="253">
        <v>8</v>
      </c>
      <c r="K9" s="253">
        <v>7</v>
      </c>
      <c r="L9" s="253">
        <v>7</v>
      </c>
      <c r="M9" s="253">
        <v>8</v>
      </c>
      <c r="N9" s="253">
        <v>7</v>
      </c>
      <c r="O9" s="253">
        <v>8</v>
      </c>
      <c r="P9" s="253">
        <v>9</v>
      </c>
      <c r="Q9" s="253">
        <v>7</v>
      </c>
      <c r="R9" s="253">
        <v>8</v>
      </c>
      <c r="S9" s="253">
        <v>7</v>
      </c>
      <c r="T9" s="253">
        <v>8</v>
      </c>
      <c r="U9" s="253">
        <v>7</v>
      </c>
      <c r="V9" s="253">
        <v>7</v>
      </c>
      <c r="W9" s="442">
        <v>7</v>
      </c>
      <c r="X9" s="442">
        <v>8</v>
      </c>
      <c r="Y9" s="442">
        <v>7</v>
      </c>
      <c r="Z9" s="442">
        <v>8</v>
      </c>
    </row>
    <row r="10" spans="1:26" s="428" customFormat="1" ht="24.75" customHeight="1" x14ac:dyDescent="0.2">
      <c r="A10" s="551" t="s">
        <v>1032</v>
      </c>
      <c r="B10" s="551"/>
      <c r="C10" s="551"/>
      <c r="D10" s="551"/>
      <c r="E10" s="551"/>
      <c r="F10" s="551"/>
      <c r="G10" s="447" t="e">
        <f t="shared" ref="G10:V10" si="0">G15+G36+G95+G106</f>
        <v>#REF!</v>
      </c>
      <c r="H10" s="447" t="e">
        <f t="shared" si="0"/>
        <v>#REF!</v>
      </c>
      <c r="I10" s="447" t="e">
        <f t="shared" si="0"/>
        <v>#REF!</v>
      </c>
      <c r="J10" s="447" t="e">
        <f t="shared" si="0"/>
        <v>#REF!</v>
      </c>
      <c r="K10" s="447" t="e">
        <f t="shared" si="0"/>
        <v>#REF!</v>
      </c>
      <c r="L10" s="447" t="e">
        <f t="shared" si="0"/>
        <v>#REF!</v>
      </c>
      <c r="M10" s="447" t="e">
        <f t="shared" si="0"/>
        <v>#REF!</v>
      </c>
      <c r="N10" s="447" t="e">
        <f t="shared" si="0"/>
        <v>#REF!</v>
      </c>
      <c r="O10" s="447" t="e">
        <f t="shared" si="0"/>
        <v>#REF!</v>
      </c>
      <c r="P10" s="447" t="e">
        <f t="shared" si="0"/>
        <v>#REF!</v>
      </c>
      <c r="Q10" s="447" t="e">
        <f t="shared" si="0"/>
        <v>#REF!</v>
      </c>
      <c r="R10" s="447" t="e">
        <f t="shared" si="0"/>
        <v>#REF!</v>
      </c>
      <c r="S10" s="447" t="e">
        <f t="shared" si="0"/>
        <v>#REF!</v>
      </c>
      <c r="T10" s="447">
        <f t="shared" si="0"/>
        <v>75565.95</v>
      </c>
      <c r="U10" s="447">
        <f t="shared" si="0"/>
        <v>14947.05</v>
      </c>
      <c r="V10" s="447">
        <f t="shared" si="0"/>
        <v>60493.599999999999</v>
      </c>
      <c r="W10" s="447">
        <f t="shared" ref="W10:X10" si="1">W15+W36+W95+W106</f>
        <v>25173.657999999999</v>
      </c>
      <c r="X10" s="447">
        <f t="shared" si="1"/>
        <v>117519.40800000001</v>
      </c>
      <c r="Y10" s="447">
        <f t="shared" ref="Y10:Z10" si="2">Y15+Y36+Y95+Y106</f>
        <v>-20711.510000000006</v>
      </c>
      <c r="Z10" s="447">
        <f t="shared" si="2"/>
        <v>96807.898000000001</v>
      </c>
    </row>
    <row r="11" spans="1:26" ht="12.75" hidden="1" customHeight="1" x14ac:dyDescent="0.2">
      <c r="A11" s="462" t="s">
        <v>72</v>
      </c>
      <c r="B11" s="250" t="s">
        <v>73</v>
      </c>
      <c r="C11" s="250" t="s">
        <v>190</v>
      </c>
      <c r="D11" s="250"/>
      <c r="E11" s="250"/>
      <c r="F11" s="250"/>
      <c r="G11" s="257"/>
      <c r="H11" s="257"/>
      <c r="I11" s="257"/>
      <c r="J11" s="257" t="e">
        <f>J12</f>
        <v>#REF!</v>
      </c>
      <c r="K11" s="257"/>
      <c r="L11" s="257" t="e">
        <f t="shared" ref="L11:Z13" si="3">L12</f>
        <v>#REF!</v>
      </c>
      <c r="M11" s="257" t="e">
        <f t="shared" si="3"/>
        <v>#REF!</v>
      </c>
      <c r="N11" s="257" t="e">
        <f t="shared" si="3"/>
        <v>#REF!</v>
      </c>
      <c r="O11" s="257" t="e">
        <f t="shared" si="3"/>
        <v>#REF!</v>
      </c>
      <c r="P11" s="257" t="e">
        <f t="shared" si="3"/>
        <v>#REF!</v>
      </c>
      <c r="Q11" s="257" t="e">
        <f t="shared" si="3"/>
        <v>#REF!</v>
      </c>
      <c r="R11" s="257" t="e">
        <f t="shared" si="3"/>
        <v>#REF!</v>
      </c>
      <c r="S11" s="257" t="e">
        <f t="shared" si="3"/>
        <v>#REF!</v>
      </c>
      <c r="T11" s="257" t="e">
        <f t="shared" si="3"/>
        <v>#REF!</v>
      </c>
      <c r="U11" s="257" t="e">
        <f t="shared" si="3"/>
        <v>#REF!</v>
      </c>
      <c r="V11" s="257" t="e">
        <f t="shared" si="3"/>
        <v>#REF!</v>
      </c>
      <c r="W11" s="257" t="e">
        <f t="shared" si="3"/>
        <v>#REF!</v>
      </c>
      <c r="X11" s="257" t="e">
        <f t="shared" si="3"/>
        <v>#REF!</v>
      </c>
      <c r="Y11" s="257" t="e">
        <f t="shared" si="3"/>
        <v>#REF!</v>
      </c>
      <c r="Z11" s="257" t="e">
        <f t="shared" si="3"/>
        <v>#REF!</v>
      </c>
    </row>
    <row r="12" spans="1:26" ht="12.75" hidden="1" customHeight="1" x14ac:dyDescent="0.2">
      <c r="A12" s="462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/>
      <c r="H12" s="257"/>
      <c r="I12" s="257"/>
      <c r="J12" s="257" t="e">
        <f>J13</f>
        <v>#REF!</v>
      </c>
      <c r="K12" s="257"/>
      <c r="L12" s="257" t="e">
        <f t="shared" si="3"/>
        <v>#REF!</v>
      </c>
      <c r="M12" s="257" t="e">
        <f t="shared" si="3"/>
        <v>#REF!</v>
      </c>
      <c r="N12" s="257" t="e">
        <f t="shared" si="3"/>
        <v>#REF!</v>
      </c>
      <c r="O12" s="257" t="e">
        <f t="shared" si="3"/>
        <v>#REF!</v>
      </c>
      <c r="P12" s="257" t="e">
        <f t="shared" si="3"/>
        <v>#REF!</v>
      </c>
      <c r="Q12" s="257" t="e">
        <f t="shared" si="3"/>
        <v>#REF!</v>
      </c>
      <c r="R12" s="257" t="e">
        <f t="shared" si="3"/>
        <v>#REF!</v>
      </c>
      <c r="S12" s="257" t="e">
        <f t="shared" si="3"/>
        <v>#REF!</v>
      </c>
      <c r="T12" s="257" t="e">
        <f t="shared" si="3"/>
        <v>#REF!</v>
      </c>
      <c r="U12" s="257" t="e">
        <f t="shared" si="3"/>
        <v>#REF!</v>
      </c>
      <c r="V12" s="257" t="e">
        <f t="shared" si="3"/>
        <v>#REF!</v>
      </c>
      <c r="W12" s="257" t="e">
        <f t="shared" si="3"/>
        <v>#REF!</v>
      </c>
      <c r="X12" s="257" t="e">
        <f t="shared" si="3"/>
        <v>#REF!</v>
      </c>
      <c r="Y12" s="257" t="e">
        <f t="shared" si="3"/>
        <v>#REF!</v>
      </c>
      <c r="Z12" s="257" t="e">
        <f t="shared" si="3"/>
        <v>#REF!</v>
      </c>
    </row>
    <row r="13" spans="1:26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/>
      <c r="H13" s="257"/>
      <c r="I13" s="257"/>
      <c r="J13" s="257" t="e">
        <f>J14</f>
        <v>#REF!</v>
      </c>
      <c r="K13" s="257"/>
      <c r="L13" s="257" t="e">
        <f t="shared" si="3"/>
        <v>#REF!</v>
      </c>
      <c r="M13" s="257" t="e">
        <f t="shared" si="3"/>
        <v>#REF!</v>
      </c>
      <c r="N13" s="257" t="e">
        <f t="shared" si="3"/>
        <v>#REF!</v>
      </c>
      <c r="O13" s="257" t="e">
        <f t="shared" si="3"/>
        <v>#REF!</v>
      </c>
      <c r="P13" s="257" t="e">
        <f t="shared" si="3"/>
        <v>#REF!</v>
      </c>
      <c r="Q13" s="257" t="e">
        <f t="shared" si="3"/>
        <v>#REF!</v>
      </c>
      <c r="R13" s="257" t="e">
        <f t="shared" si="3"/>
        <v>#REF!</v>
      </c>
      <c r="S13" s="257" t="e">
        <f t="shared" si="3"/>
        <v>#REF!</v>
      </c>
      <c r="T13" s="257" t="e">
        <f t="shared" si="3"/>
        <v>#REF!</v>
      </c>
      <c r="U13" s="257" t="e">
        <f t="shared" si="3"/>
        <v>#REF!</v>
      </c>
      <c r="V13" s="257" t="e">
        <f t="shared" si="3"/>
        <v>#REF!</v>
      </c>
      <c r="W13" s="257" t="e">
        <f t="shared" si="3"/>
        <v>#REF!</v>
      </c>
      <c r="X13" s="257" t="e">
        <f t="shared" si="3"/>
        <v>#REF!</v>
      </c>
      <c r="Y13" s="257" t="e">
        <f t="shared" si="3"/>
        <v>#REF!</v>
      </c>
      <c r="Z13" s="257" t="e">
        <f t="shared" si="3"/>
        <v>#REF!</v>
      </c>
    </row>
    <row r="14" spans="1:26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/>
      <c r="H14" s="257"/>
      <c r="I14" s="257"/>
      <c r="J14" s="257" t="e">
        <f>#REF!+G14</f>
        <v>#REF!</v>
      </c>
      <c r="K14" s="257"/>
      <c r="L14" s="257" t="e">
        <f>#REF!+H14</f>
        <v>#REF!</v>
      </c>
      <c r="M14" s="257" t="e">
        <f>#REF!+I14</f>
        <v>#REF!</v>
      </c>
      <c r="N14" s="257" t="e">
        <f>#REF!+J14</f>
        <v>#REF!</v>
      </c>
      <c r="O14" s="257" t="e">
        <f>#REF!+K14</f>
        <v>#REF!</v>
      </c>
      <c r="P14" s="257" t="e">
        <f>#REF!+L14</f>
        <v>#REF!</v>
      </c>
      <c r="Q14" s="257" t="e">
        <f>#REF!+M14</f>
        <v>#REF!</v>
      </c>
      <c r="R14" s="257" t="e">
        <f>#REF!+N14</f>
        <v>#REF!</v>
      </c>
      <c r="S14" s="257" t="e">
        <f>#REF!+O14</f>
        <v>#REF!</v>
      </c>
      <c r="T14" s="257" t="e">
        <f>#REF!+P14</f>
        <v>#REF!</v>
      </c>
      <c r="U14" s="257" t="e">
        <f>#REF!+Q14</f>
        <v>#REF!</v>
      </c>
      <c r="V14" s="257" t="e">
        <f>#REF!+R14</f>
        <v>#REF!</v>
      </c>
      <c r="W14" s="257" t="e">
        <f>#REF!+S14</f>
        <v>#REF!</v>
      </c>
      <c r="X14" s="257" t="e">
        <f>#REF!+T14</f>
        <v>#REF!</v>
      </c>
      <c r="Y14" s="257" t="e">
        <f>#REF!+U14</f>
        <v>#REF!</v>
      </c>
      <c r="Z14" s="257" t="e">
        <f>#REF!+V14</f>
        <v>#REF!</v>
      </c>
    </row>
    <row r="15" spans="1:26" s="430" customFormat="1" ht="12.75" customHeight="1" x14ac:dyDescent="0.2">
      <c r="A15" s="462" t="s">
        <v>298</v>
      </c>
      <c r="B15" s="250" t="s">
        <v>73</v>
      </c>
      <c r="C15" s="250" t="s">
        <v>202</v>
      </c>
      <c r="D15" s="250"/>
      <c r="E15" s="250"/>
      <c r="F15" s="250"/>
      <c r="G15" s="261" t="e">
        <f>G16+#REF!+G31</f>
        <v>#REF!</v>
      </c>
      <c r="H15" s="261" t="e">
        <f>H16+#REF!+H31</f>
        <v>#REF!</v>
      </c>
      <c r="I15" s="261" t="e">
        <f>I16+#REF!+I31</f>
        <v>#REF!</v>
      </c>
      <c r="J15" s="261" t="e">
        <f>J16+#REF!+J31</f>
        <v>#REF!</v>
      </c>
      <c r="K15" s="261" t="e">
        <f>K16+#REF!+K31</f>
        <v>#REF!</v>
      </c>
      <c r="L15" s="261">
        <f t="shared" ref="L15:T15" si="4">L16+L31</f>
        <v>14706</v>
      </c>
      <c r="M15" s="261">
        <f t="shared" si="4"/>
        <v>14706</v>
      </c>
      <c r="N15" s="261">
        <f t="shared" si="4"/>
        <v>2431</v>
      </c>
      <c r="O15" s="261">
        <f t="shared" si="4"/>
        <v>17137</v>
      </c>
      <c r="P15" s="261">
        <f t="shared" si="4"/>
        <v>17155</v>
      </c>
      <c r="Q15" s="261">
        <f t="shared" si="4"/>
        <v>0</v>
      </c>
      <c r="R15" s="261">
        <f t="shared" si="4"/>
        <v>17155</v>
      </c>
      <c r="S15" s="261">
        <f t="shared" si="4"/>
        <v>4304</v>
      </c>
      <c r="T15" s="261">
        <f t="shared" si="4"/>
        <v>21919</v>
      </c>
      <c r="U15" s="261">
        <f t="shared" ref="U15:V15" si="5">U16+U31</f>
        <v>13994.72</v>
      </c>
      <c r="V15" s="261">
        <f t="shared" si="5"/>
        <v>17689</v>
      </c>
      <c r="W15" s="261">
        <f t="shared" ref="W15:X15" si="6">W16+W31</f>
        <v>12176.09</v>
      </c>
      <c r="X15" s="261">
        <f t="shared" si="6"/>
        <v>28855</v>
      </c>
      <c r="Y15" s="261">
        <f t="shared" ref="Y15:Z15" si="7">Y16+Y31</f>
        <v>2265</v>
      </c>
      <c r="Z15" s="261">
        <f t="shared" si="7"/>
        <v>31120</v>
      </c>
    </row>
    <row r="16" spans="1:26" ht="16.5" customHeight="1" x14ac:dyDescent="0.2">
      <c r="A16" s="462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f t="shared" ref="G16:Y16" si="8">G17</f>
        <v>0</v>
      </c>
      <c r="H16" s="262"/>
      <c r="I16" s="262">
        <f t="shared" si="8"/>
        <v>15549</v>
      </c>
      <c r="J16" s="262">
        <f t="shared" si="8"/>
        <v>15549</v>
      </c>
      <c r="K16" s="262" t="e">
        <f t="shared" si="8"/>
        <v>#REF!</v>
      </c>
      <c r="L16" s="262">
        <f t="shared" si="8"/>
        <v>14506</v>
      </c>
      <c r="M16" s="262">
        <f t="shared" si="8"/>
        <v>14506</v>
      </c>
      <c r="N16" s="262">
        <f t="shared" si="8"/>
        <v>2431</v>
      </c>
      <c r="O16" s="262">
        <f t="shared" si="8"/>
        <v>16937</v>
      </c>
      <c r="P16" s="262">
        <f t="shared" si="8"/>
        <v>16955</v>
      </c>
      <c r="Q16" s="262">
        <f t="shared" si="8"/>
        <v>0</v>
      </c>
      <c r="R16" s="262">
        <f t="shared" si="8"/>
        <v>16955</v>
      </c>
      <c r="S16" s="262">
        <f t="shared" si="8"/>
        <v>4449</v>
      </c>
      <c r="T16" s="262">
        <f>T17</f>
        <v>21719</v>
      </c>
      <c r="U16" s="262">
        <f t="shared" si="8"/>
        <v>14084.72</v>
      </c>
      <c r="V16" s="262">
        <f>V17</f>
        <v>17489</v>
      </c>
      <c r="W16" s="262">
        <f t="shared" si="8"/>
        <v>12266.09</v>
      </c>
      <c r="X16" s="262">
        <f>X17</f>
        <v>28645</v>
      </c>
      <c r="Y16" s="262">
        <f t="shared" si="8"/>
        <v>2415</v>
      </c>
      <c r="Z16" s="262">
        <f>Z17</f>
        <v>31060</v>
      </c>
    </row>
    <row r="17" spans="1:26" ht="45.75" customHeight="1" x14ac:dyDescent="0.2">
      <c r="A17" s="259" t="s">
        <v>974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/>
      <c r="H17" s="257">
        <f>H19+H27</f>
        <v>0</v>
      </c>
      <c r="I17" s="257">
        <f>I19+I27</f>
        <v>15549</v>
      </c>
      <c r="J17" s="257">
        <f>J19+J27</f>
        <v>15549</v>
      </c>
      <c r="K17" s="257" t="e">
        <f>K19+K27+K28+#REF!</f>
        <v>#REF!</v>
      </c>
      <c r="L17" s="257">
        <f t="shared" ref="L17:Q17" si="9">L19+L27+L28</f>
        <v>14506</v>
      </c>
      <c r="M17" s="257">
        <f t="shared" si="9"/>
        <v>14506</v>
      </c>
      <c r="N17" s="257">
        <f t="shared" si="9"/>
        <v>2431</v>
      </c>
      <c r="O17" s="257">
        <f t="shared" si="9"/>
        <v>16937</v>
      </c>
      <c r="P17" s="257">
        <f t="shared" si="9"/>
        <v>16955</v>
      </c>
      <c r="Q17" s="257">
        <f t="shared" si="9"/>
        <v>0</v>
      </c>
      <c r="R17" s="257">
        <f>R18+R26</f>
        <v>16955</v>
      </c>
      <c r="S17" s="257">
        <f t="shared" ref="S17:U17" si="10">S18+S26</f>
        <v>4449</v>
      </c>
      <c r="T17" s="257">
        <f>T18+T26</f>
        <v>21719</v>
      </c>
      <c r="U17" s="257">
        <f t="shared" si="10"/>
        <v>14084.72</v>
      </c>
      <c r="V17" s="257">
        <f>V18+V26</f>
        <v>17489</v>
      </c>
      <c r="W17" s="257">
        <f t="shared" ref="W17:Y17" si="11">W18+W26</f>
        <v>12266.09</v>
      </c>
      <c r="X17" s="257">
        <f>X18+X26</f>
        <v>28645</v>
      </c>
      <c r="Y17" s="257">
        <f t="shared" si="11"/>
        <v>2415</v>
      </c>
      <c r="Z17" s="257">
        <f>Z18+Z26</f>
        <v>31060</v>
      </c>
    </row>
    <row r="18" spans="1:26" s="430" customFormat="1" ht="19.5" customHeight="1" x14ac:dyDescent="0.2">
      <c r="A18" s="462" t="s">
        <v>1050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>
        <f>R19+R20+R22</f>
        <v>10475</v>
      </c>
      <c r="S18" s="275">
        <f t="shared" ref="S18" si="12">S19+S20+S22</f>
        <v>2867</v>
      </c>
      <c r="T18" s="275">
        <f>T19+T20+T22+T23</f>
        <v>13824</v>
      </c>
      <c r="U18" s="275">
        <f>U19+U20+U22+U23</f>
        <v>13363.72</v>
      </c>
      <c r="V18" s="275">
        <f t="shared" ref="V18" si="13">V19+V20+V22+V23</f>
        <v>10944</v>
      </c>
      <c r="W18" s="275">
        <f>W19+W20+W22+W23</f>
        <v>10447.09</v>
      </c>
      <c r="X18" s="275">
        <f>X19+X20+X22+X23+X21</f>
        <v>18868</v>
      </c>
      <c r="Y18" s="275">
        <f>Y19+Y20+Y22+Y23+Y21</f>
        <v>2200</v>
      </c>
      <c r="Z18" s="275">
        <f t="shared" ref="Z18" si="14">Z19+Z20+Z22+Z23+Z21</f>
        <v>21068</v>
      </c>
    </row>
    <row r="19" spans="1:26" ht="28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744</v>
      </c>
      <c r="F19" s="252" t="s">
        <v>77</v>
      </c>
      <c r="G19" s="257"/>
      <c r="H19" s="257"/>
      <c r="I19" s="257">
        <v>9532</v>
      </c>
      <c r="J19" s="257">
        <f>H19+I19</f>
        <v>9532</v>
      </c>
      <c r="K19" s="257">
        <v>0</v>
      </c>
      <c r="L19" s="257">
        <f>9836-1000</f>
        <v>8836</v>
      </c>
      <c r="M19" s="257">
        <f>9836-1000</f>
        <v>8836</v>
      </c>
      <c r="N19" s="257">
        <v>1621</v>
      </c>
      <c r="O19" s="257">
        <f>M19+N19</f>
        <v>10457</v>
      </c>
      <c r="P19" s="257">
        <v>10475</v>
      </c>
      <c r="Q19" s="257">
        <v>0</v>
      </c>
      <c r="R19" s="257">
        <f>P19+Q19</f>
        <v>10475</v>
      </c>
      <c r="S19" s="257">
        <f>69-1269+787</f>
        <v>-413</v>
      </c>
      <c r="T19" s="257">
        <v>10544</v>
      </c>
      <c r="U19" s="257">
        <f>2549-1297.2</f>
        <v>1251.8</v>
      </c>
      <c r="V19" s="257">
        <v>10544</v>
      </c>
      <c r="W19" s="257">
        <v>3468</v>
      </c>
      <c r="X19" s="257">
        <v>16168</v>
      </c>
      <c r="Y19" s="257">
        <v>0</v>
      </c>
      <c r="Z19" s="257">
        <f>X19+Y19</f>
        <v>16168</v>
      </c>
    </row>
    <row r="20" spans="1:26" ht="28.5" customHeight="1" x14ac:dyDescent="0.2">
      <c r="A20" s="259" t="s">
        <v>76</v>
      </c>
      <c r="B20" s="252" t="s">
        <v>73</v>
      </c>
      <c r="C20" s="252" t="s">
        <v>202</v>
      </c>
      <c r="D20" s="252" t="s">
        <v>194</v>
      </c>
      <c r="E20" s="252" t="s">
        <v>1052</v>
      </c>
      <c r="F20" s="252" t="s">
        <v>77</v>
      </c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>
        <f>2880</f>
        <v>2880</v>
      </c>
      <c r="T20" s="257">
        <v>2880</v>
      </c>
      <c r="U20" s="257">
        <v>0</v>
      </c>
      <c r="V20" s="257">
        <v>0</v>
      </c>
      <c r="W20" s="257">
        <v>2300</v>
      </c>
      <c r="X20" s="257">
        <v>2300</v>
      </c>
      <c r="Y20" s="257">
        <v>-2300</v>
      </c>
      <c r="Z20" s="257">
        <f>X20+Y20</f>
        <v>0</v>
      </c>
    </row>
    <row r="21" spans="1:26" ht="28.5" customHeight="1" x14ac:dyDescent="0.2">
      <c r="A21" s="259" t="s">
        <v>76</v>
      </c>
      <c r="B21" s="252" t="s">
        <v>73</v>
      </c>
      <c r="C21" s="252" t="s">
        <v>202</v>
      </c>
      <c r="D21" s="252" t="s">
        <v>194</v>
      </c>
      <c r="E21" s="252" t="s">
        <v>1248</v>
      </c>
      <c r="F21" s="252" t="s">
        <v>77</v>
      </c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>
        <f>2880</f>
        <v>2880</v>
      </c>
      <c r="T21" s="257">
        <v>2880</v>
      </c>
      <c r="U21" s="257">
        <v>0</v>
      </c>
      <c r="V21" s="257">
        <v>0</v>
      </c>
      <c r="W21" s="257">
        <v>2300</v>
      </c>
      <c r="X21" s="257">
        <v>0</v>
      </c>
      <c r="Y21" s="257">
        <v>4500</v>
      </c>
      <c r="Z21" s="257">
        <f>X21+Y21</f>
        <v>4500</v>
      </c>
    </row>
    <row r="22" spans="1:26" ht="28.5" customHeight="1" x14ac:dyDescent="0.2">
      <c r="A22" s="259" t="s">
        <v>76</v>
      </c>
      <c r="B22" s="252" t="s">
        <v>73</v>
      </c>
      <c r="C22" s="252" t="s">
        <v>202</v>
      </c>
      <c r="D22" s="252" t="s">
        <v>194</v>
      </c>
      <c r="E22" s="252" t="s">
        <v>1053</v>
      </c>
      <c r="F22" s="252" t="s">
        <v>77</v>
      </c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>
        <v>400</v>
      </c>
      <c r="T22" s="257">
        <f t="shared" ref="T22" si="15">R22+S22</f>
        <v>400</v>
      </c>
      <c r="U22" s="257">
        <v>0</v>
      </c>
      <c r="V22" s="257">
        <v>400</v>
      </c>
      <c r="W22" s="257">
        <v>0</v>
      </c>
      <c r="X22" s="257">
        <v>400</v>
      </c>
      <c r="Y22" s="257">
        <v>0</v>
      </c>
      <c r="Z22" s="257">
        <f t="shared" ref="Z22" si="16">X22+Y22</f>
        <v>400</v>
      </c>
    </row>
    <row r="23" spans="1:26" ht="28.5" hidden="1" customHeight="1" x14ac:dyDescent="0.2">
      <c r="A23" s="259" t="s">
        <v>1153</v>
      </c>
      <c r="B23" s="252" t="s">
        <v>73</v>
      </c>
      <c r="C23" s="252" t="s">
        <v>202</v>
      </c>
      <c r="D23" s="252" t="s">
        <v>194</v>
      </c>
      <c r="E23" s="252" t="s">
        <v>1152</v>
      </c>
      <c r="F23" s="252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>
        <v>401</v>
      </c>
      <c r="T23" s="257">
        <f>T24+T25</f>
        <v>0</v>
      </c>
      <c r="U23" s="257">
        <f t="shared" ref="U23:V23" si="17">U24+U25</f>
        <v>12111.92</v>
      </c>
      <c r="V23" s="257">
        <f t="shared" si="17"/>
        <v>0</v>
      </c>
      <c r="W23" s="257">
        <f t="shared" ref="W23:X23" si="18">W24+W25</f>
        <v>4679.09</v>
      </c>
      <c r="X23" s="257">
        <f t="shared" si="18"/>
        <v>0</v>
      </c>
      <c r="Y23" s="257">
        <f t="shared" ref="Y23:Z23" si="19">Y24+Y25</f>
        <v>0</v>
      </c>
      <c r="Z23" s="257">
        <f t="shared" si="19"/>
        <v>0</v>
      </c>
    </row>
    <row r="24" spans="1:26" ht="28.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1152</v>
      </c>
      <c r="F24" s="252" t="s">
        <v>79</v>
      </c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>
        <v>401</v>
      </c>
      <c r="T24" s="257">
        <v>0</v>
      </c>
      <c r="U24" s="257">
        <v>11990.8</v>
      </c>
      <c r="V24" s="257">
        <v>0</v>
      </c>
      <c r="W24" s="257">
        <v>4632.3</v>
      </c>
      <c r="X24" s="257">
        <v>0</v>
      </c>
      <c r="Y24" s="257">
        <v>0</v>
      </c>
      <c r="Z24" s="257">
        <f t="shared" ref="Z24:Z25" si="20">X24+Y24</f>
        <v>0</v>
      </c>
    </row>
    <row r="25" spans="1:26" ht="28.5" hidden="1" customHeight="1" x14ac:dyDescent="0.2">
      <c r="A25" s="259" t="s">
        <v>76</v>
      </c>
      <c r="B25" s="252" t="s">
        <v>73</v>
      </c>
      <c r="C25" s="252" t="s">
        <v>202</v>
      </c>
      <c r="D25" s="252" t="s">
        <v>194</v>
      </c>
      <c r="E25" s="252" t="s">
        <v>1152</v>
      </c>
      <c r="F25" s="252" t="s">
        <v>79</v>
      </c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>
        <v>401</v>
      </c>
      <c r="T25" s="257">
        <v>0</v>
      </c>
      <c r="U25" s="257">
        <v>121.12</v>
      </c>
      <c r="V25" s="257">
        <v>0</v>
      </c>
      <c r="W25" s="257">
        <v>46.79</v>
      </c>
      <c r="X25" s="257">
        <v>0</v>
      </c>
      <c r="Y25" s="257">
        <v>0</v>
      </c>
      <c r="Z25" s="257">
        <f t="shared" si="20"/>
        <v>0</v>
      </c>
    </row>
    <row r="26" spans="1:26" s="430" customFormat="1" ht="17.25" customHeight="1" x14ac:dyDescent="0.2">
      <c r="A26" s="462" t="s">
        <v>1051</v>
      </c>
      <c r="B26" s="250" t="s">
        <v>73</v>
      </c>
      <c r="C26" s="250" t="s">
        <v>202</v>
      </c>
      <c r="D26" s="250" t="s">
        <v>194</v>
      </c>
      <c r="E26" s="250" t="s">
        <v>745</v>
      </c>
      <c r="F26" s="250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>
        <f>R27+R28+R30</f>
        <v>6480</v>
      </c>
      <c r="S26" s="275">
        <f t="shared" ref="S26:U26" si="21">S27+S28+S30</f>
        <v>1582</v>
      </c>
      <c r="T26" s="275">
        <f>T27+T28+T30</f>
        <v>7895</v>
      </c>
      <c r="U26" s="275">
        <f t="shared" si="21"/>
        <v>721</v>
      </c>
      <c r="V26" s="275">
        <f>V27+V28+V30</f>
        <v>6545</v>
      </c>
      <c r="W26" s="275">
        <f t="shared" ref="W26" si="22">W27+W28+W30</f>
        <v>1819</v>
      </c>
      <c r="X26" s="275">
        <f>X27+X28+X30+X29</f>
        <v>9777</v>
      </c>
      <c r="Y26" s="275">
        <f>Y27+Y28+Y30+Y29</f>
        <v>215</v>
      </c>
      <c r="Z26" s="275">
        <f t="shared" ref="Z26" si="23">Z27+Z28+Z30+Z29</f>
        <v>9992</v>
      </c>
    </row>
    <row r="27" spans="1:26" ht="31.5" customHeight="1" x14ac:dyDescent="0.2">
      <c r="A27" s="259" t="s">
        <v>76</v>
      </c>
      <c r="B27" s="252" t="s">
        <v>73</v>
      </c>
      <c r="C27" s="252" t="s">
        <v>202</v>
      </c>
      <c r="D27" s="252" t="s">
        <v>194</v>
      </c>
      <c r="E27" s="252" t="s">
        <v>745</v>
      </c>
      <c r="F27" s="252" t="s">
        <v>77</v>
      </c>
      <c r="G27" s="257"/>
      <c r="H27" s="257"/>
      <c r="I27" s="257">
        <v>6017</v>
      </c>
      <c r="J27" s="257">
        <f>H27+I27</f>
        <v>6017</v>
      </c>
      <c r="K27" s="257">
        <v>0</v>
      </c>
      <c r="L27" s="257">
        <f>6170-500</f>
        <v>5670</v>
      </c>
      <c r="M27" s="257">
        <f>6170-500</f>
        <v>5670</v>
      </c>
      <c r="N27" s="257">
        <v>810</v>
      </c>
      <c r="O27" s="257">
        <f>M27+N27</f>
        <v>6480</v>
      </c>
      <c r="P27" s="257">
        <v>6480</v>
      </c>
      <c r="Q27" s="257">
        <v>0</v>
      </c>
      <c r="R27" s="257">
        <f t="shared" ref="R27:R28" si="24">P27+Q27</f>
        <v>6480</v>
      </c>
      <c r="S27" s="257">
        <f>-880-135+302</f>
        <v>-713</v>
      </c>
      <c r="T27" s="257">
        <v>5600</v>
      </c>
      <c r="U27" s="257">
        <f>106-138+753</f>
        <v>721</v>
      </c>
      <c r="V27" s="257">
        <v>5600</v>
      </c>
      <c r="W27" s="257">
        <v>469</v>
      </c>
      <c r="X27" s="257">
        <v>7482</v>
      </c>
      <c r="Y27" s="257">
        <v>-1135</v>
      </c>
      <c r="Z27" s="257">
        <f t="shared" ref="Z27:Z28" si="25">X27+Y27</f>
        <v>6347</v>
      </c>
    </row>
    <row r="28" spans="1:26" ht="31.5" customHeight="1" x14ac:dyDescent="0.2">
      <c r="A28" s="259" t="s">
        <v>76</v>
      </c>
      <c r="B28" s="252" t="s">
        <v>73</v>
      </c>
      <c r="C28" s="252" t="s">
        <v>202</v>
      </c>
      <c r="D28" s="252" t="s">
        <v>194</v>
      </c>
      <c r="E28" s="252" t="s">
        <v>1054</v>
      </c>
      <c r="F28" s="252" t="s">
        <v>77</v>
      </c>
      <c r="G28" s="257"/>
      <c r="H28" s="257"/>
      <c r="I28" s="257"/>
      <c r="J28" s="257"/>
      <c r="K28" s="257">
        <v>1050</v>
      </c>
      <c r="L28" s="257">
        <v>0</v>
      </c>
      <c r="M28" s="257">
        <v>0</v>
      </c>
      <c r="N28" s="257">
        <v>0</v>
      </c>
      <c r="O28" s="257">
        <f>M28+N28</f>
        <v>0</v>
      </c>
      <c r="P28" s="257">
        <v>0</v>
      </c>
      <c r="Q28" s="257">
        <v>0</v>
      </c>
      <c r="R28" s="257">
        <f t="shared" si="24"/>
        <v>0</v>
      </c>
      <c r="S28" s="257">
        <f>1350</f>
        <v>1350</v>
      </c>
      <c r="T28" s="257">
        <v>1350</v>
      </c>
      <c r="U28" s="257">
        <v>0</v>
      </c>
      <c r="V28" s="257">
        <v>0</v>
      </c>
      <c r="W28" s="257">
        <v>1350</v>
      </c>
      <c r="X28" s="257">
        <v>1350</v>
      </c>
      <c r="Y28" s="257">
        <v>-1350</v>
      </c>
      <c r="Z28" s="257">
        <f t="shared" si="25"/>
        <v>0</v>
      </c>
    </row>
    <row r="29" spans="1:26" ht="31.5" customHeight="1" x14ac:dyDescent="0.2">
      <c r="A29" s="259" t="s">
        <v>76</v>
      </c>
      <c r="B29" s="252" t="s">
        <v>73</v>
      </c>
      <c r="C29" s="252" t="s">
        <v>202</v>
      </c>
      <c r="D29" s="252" t="s">
        <v>194</v>
      </c>
      <c r="E29" s="252" t="s">
        <v>1249</v>
      </c>
      <c r="F29" s="252" t="s">
        <v>77</v>
      </c>
      <c r="G29" s="257"/>
      <c r="H29" s="257"/>
      <c r="I29" s="257"/>
      <c r="J29" s="257"/>
      <c r="K29" s="257">
        <v>1050</v>
      </c>
      <c r="L29" s="257">
        <v>0</v>
      </c>
      <c r="M29" s="257">
        <v>0</v>
      </c>
      <c r="N29" s="257">
        <v>0</v>
      </c>
      <c r="O29" s="257">
        <f>M29+N29</f>
        <v>0</v>
      </c>
      <c r="P29" s="257">
        <v>0</v>
      </c>
      <c r="Q29" s="257">
        <v>0</v>
      </c>
      <c r="R29" s="257">
        <f t="shared" ref="R29" si="26">P29+Q29</f>
        <v>0</v>
      </c>
      <c r="S29" s="257">
        <f>1350</f>
        <v>1350</v>
      </c>
      <c r="T29" s="257">
        <v>1350</v>
      </c>
      <c r="U29" s="257">
        <v>0</v>
      </c>
      <c r="V29" s="257">
        <v>0</v>
      </c>
      <c r="W29" s="257">
        <v>1350</v>
      </c>
      <c r="X29" s="257">
        <v>0</v>
      </c>
      <c r="Y29" s="257">
        <v>2700</v>
      </c>
      <c r="Z29" s="257">
        <f t="shared" ref="Z29" si="27">X29+Y29</f>
        <v>2700</v>
      </c>
    </row>
    <row r="30" spans="1:26" ht="31.5" customHeight="1" x14ac:dyDescent="0.2">
      <c r="A30" s="259" t="s">
        <v>76</v>
      </c>
      <c r="B30" s="252" t="s">
        <v>73</v>
      </c>
      <c r="C30" s="252" t="s">
        <v>202</v>
      </c>
      <c r="D30" s="252" t="s">
        <v>194</v>
      </c>
      <c r="E30" s="252" t="s">
        <v>1055</v>
      </c>
      <c r="F30" s="252" t="s">
        <v>77</v>
      </c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>
        <v>945</v>
      </c>
      <c r="T30" s="257">
        <f>R30+S30</f>
        <v>945</v>
      </c>
      <c r="U30" s="257">
        <v>0</v>
      </c>
      <c r="V30" s="257">
        <v>945</v>
      </c>
      <c r="W30" s="257">
        <v>0</v>
      </c>
      <c r="X30" s="257">
        <v>945</v>
      </c>
      <c r="Y30" s="257">
        <v>0</v>
      </c>
      <c r="Z30" s="257">
        <f>X30+Y30</f>
        <v>945</v>
      </c>
    </row>
    <row r="31" spans="1:26" s="430" customFormat="1" ht="18" customHeight="1" x14ac:dyDescent="0.2">
      <c r="A31" s="462" t="s">
        <v>230</v>
      </c>
      <c r="B31" s="250" t="s">
        <v>73</v>
      </c>
      <c r="C31" s="250" t="s">
        <v>202</v>
      </c>
      <c r="D31" s="250" t="s">
        <v>202</v>
      </c>
      <c r="E31" s="250"/>
      <c r="F31" s="250"/>
      <c r="G31" s="275">
        <f t="shared" ref="G31:K32" si="28">G32</f>
        <v>0</v>
      </c>
      <c r="H31" s="275">
        <f>H32</f>
        <v>250</v>
      </c>
      <c r="I31" s="275">
        <f t="shared" si="28"/>
        <v>0</v>
      </c>
      <c r="J31" s="275">
        <f t="shared" ref="J31:J36" si="29">H31+I31</f>
        <v>250</v>
      </c>
      <c r="K31" s="275">
        <f t="shared" si="28"/>
        <v>0</v>
      </c>
      <c r="L31" s="275">
        <f>L32</f>
        <v>200</v>
      </c>
      <c r="M31" s="275">
        <f>M32</f>
        <v>200</v>
      </c>
      <c r="N31" s="275">
        <f t="shared" ref="N31:Z32" si="30">N32</f>
        <v>0</v>
      </c>
      <c r="O31" s="275">
        <f t="shared" si="30"/>
        <v>200</v>
      </c>
      <c r="P31" s="275">
        <f t="shared" si="30"/>
        <v>200</v>
      </c>
      <c r="Q31" s="275">
        <f t="shared" si="30"/>
        <v>0</v>
      </c>
      <c r="R31" s="275">
        <f>R32+R34</f>
        <v>200</v>
      </c>
      <c r="S31" s="275">
        <f t="shared" ref="S31:T31" si="31">S32+S34</f>
        <v>-145</v>
      </c>
      <c r="T31" s="275">
        <f t="shared" si="31"/>
        <v>200</v>
      </c>
      <c r="U31" s="275">
        <f t="shared" ref="U31:V31" si="32">U32+U34</f>
        <v>-90</v>
      </c>
      <c r="V31" s="275">
        <f t="shared" si="32"/>
        <v>200</v>
      </c>
      <c r="W31" s="275">
        <f t="shared" ref="W31:X31" si="33">W32+W34</f>
        <v>-90</v>
      </c>
      <c r="X31" s="275">
        <f t="shared" si="33"/>
        <v>210</v>
      </c>
      <c r="Y31" s="275">
        <f t="shared" ref="Y31:Z31" si="34">Y32+Y34</f>
        <v>-150</v>
      </c>
      <c r="Z31" s="275">
        <f t="shared" si="34"/>
        <v>60</v>
      </c>
    </row>
    <row r="32" spans="1:26" ht="18" customHeight="1" x14ac:dyDescent="0.2">
      <c r="A32" s="259" t="s">
        <v>498</v>
      </c>
      <c r="B32" s="252" t="s">
        <v>73</v>
      </c>
      <c r="C32" s="252" t="s">
        <v>202</v>
      </c>
      <c r="D32" s="252" t="s">
        <v>202</v>
      </c>
      <c r="E32" s="252" t="s">
        <v>884</v>
      </c>
      <c r="F32" s="252"/>
      <c r="G32" s="257">
        <f t="shared" si="28"/>
        <v>0</v>
      </c>
      <c r="H32" s="257">
        <f>H33</f>
        <v>250</v>
      </c>
      <c r="I32" s="257">
        <f t="shared" si="28"/>
        <v>0</v>
      </c>
      <c r="J32" s="275">
        <f t="shared" si="29"/>
        <v>250</v>
      </c>
      <c r="K32" s="257">
        <f t="shared" si="28"/>
        <v>0</v>
      </c>
      <c r="L32" s="257">
        <f>L33</f>
        <v>200</v>
      </c>
      <c r="M32" s="257">
        <f>M33</f>
        <v>200</v>
      </c>
      <c r="N32" s="257">
        <f t="shared" si="30"/>
        <v>0</v>
      </c>
      <c r="O32" s="257">
        <f t="shared" si="30"/>
        <v>200</v>
      </c>
      <c r="P32" s="257">
        <f t="shared" si="30"/>
        <v>200</v>
      </c>
      <c r="Q32" s="257">
        <f t="shared" si="30"/>
        <v>0</v>
      </c>
      <c r="R32" s="257">
        <f t="shared" si="30"/>
        <v>200</v>
      </c>
      <c r="S32" s="257">
        <f t="shared" si="30"/>
        <v>-150</v>
      </c>
      <c r="T32" s="257">
        <f t="shared" si="30"/>
        <v>200</v>
      </c>
      <c r="U32" s="257">
        <f t="shared" si="30"/>
        <v>-100</v>
      </c>
      <c r="V32" s="257">
        <f t="shared" si="30"/>
        <v>200</v>
      </c>
      <c r="W32" s="257">
        <f t="shared" si="30"/>
        <v>-100</v>
      </c>
      <c r="X32" s="257">
        <f t="shared" si="30"/>
        <v>200</v>
      </c>
      <c r="Y32" s="257">
        <f t="shared" si="30"/>
        <v>-150</v>
      </c>
      <c r="Z32" s="257">
        <f t="shared" si="30"/>
        <v>50</v>
      </c>
    </row>
    <row r="33" spans="1:26" ht="18" customHeight="1" x14ac:dyDescent="0.2">
      <c r="A33" s="259" t="s">
        <v>121</v>
      </c>
      <c r="B33" s="252" t="s">
        <v>73</v>
      </c>
      <c r="C33" s="252" t="s">
        <v>202</v>
      </c>
      <c r="D33" s="252" t="s">
        <v>202</v>
      </c>
      <c r="E33" s="252" t="s">
        <v>884</v>
      </c>
      <c r="F33" s="252" t="s">
        <v>94</v>
      </c>
      <c r="G33" s="257"/>
      <c r="H33" s="257">
        <v>250</v>
      </c>
      <c r="I33" s="257">
        <v>0</v>
      </c>
      <c r="J33" s="275">
        <f t="shared" si="29"/>
        <v>250</v>
      </c>
      <c r="K33" s="257">
        <v>0</v>
      </c>
      <c r="L33" s="257">
        <v>200</v>
      </c>
      <c r="M33" s="257">
        <v>200</v>
      </c>
      <c r="N33" s="257">
        <v>0</v>
      </c>
      <c r="O33" s="257">
        <f>M33+N33</f>
        <v>200</v>
      </c>
      <c r="P33" s="257">
        <v>200</v>
      </c>
      <c r="Q33" s="257">
        <v>0</v>
      </c>
      <c r="R33" s="257">
        <f>P33+Q33</f>
        <v>200</v>
      </c>
      <c r="S33" s="257">
        <v>-150</v>
      </c>
      <c r="T33" s="257">
        <v>200</v>
      </c>
      <c r="U33" s="257">
        <v>-100</v>
      </c>
      <c r="V33" s="257">
        <v>200</v>
      </c>
      <c r="W33" s="257">
        <v>-100</v>
      </c>
      <c r="X33" s="257">
        <v>200</v>
      </c>
      <c r="Y33" s="257">
        <v>-150</v>
      </c>
      <c r="Z33" s="257">
        <f t="shared" ref="Z33" si="35">X33+Y33</f>
        <v>50</v>
      </c>
    </row>
    <row r="34" spans="1:26" ht="18" customHeight="1" x14ac:dyDescent="0.2">
      <c r="A34" s="259" t="s">
        <v>499</v>
      </c>
      <c r="B34" s="252" t="s">
        <v>73</v>
      </c>
      <c r="C34" s="252" t="s">
        <v>202</v>
      </c>
      <c r="D34" s="252" t="s">
        <v>202</v>
      </c>
      <c r="E34" s="252" t="s">
        <v>751</v>
      </c>
      <c r="F34" s="252"/>
      <c r="G34" s="257"/>
      <c r="H34" s="257"/>
      <c r="I34" s="257"/>
      <c r="J34" s="275"/>
      <c r="K34" s="257"/>
      <c r="L34" s="257"/>
      <c r="M34" s="257"/>
      <c r="N34" s="257"/>
      <c r="O34" s="257"/>
      <c r="P34" s="257"/>
      <c r="Q34" s="257"/>
      <c r="R34" s="257">
        <f>R35</f>
        <v>0</v>
      </c>
      <c r="S34" s="257">
        <f t="shared" ref="S34:Z34" si="36">S35</f>
        <v>5</v>
      </c>
      <c r="T34" s="257">
        <f t="shared" si="36"/>
        <v>0</v>
      </c>
      <c r="U34" s="257">
        <f t="shared" si="36"/>
        <v>10</v>
      </c>
      <c r="V34" s="257">
        <f t="shared" si="36"/>
        <v>0</v>
      </c>
      <c r="W34" s="257">
        <f t="shared" si="36"/>
        <v>10</v>
      </c>
      <c r="X34" s="257">
        <f t="shared" si="36"/>
        <v>10</v>
      </c>
      <c r="Y34" s="257">
        <f t="shared" si="36"/>
        <v>0</v>
      </c>
      <c r="Z34" s="257">
        <f t="shared" si="36"/>
        <v>10</v>
      </c>
    </row>
    <row r="35" spans="1:26" ht="18" customHeight="1" x14ac:dyDescent="0.2">
      <c r="A35" s="259" t="s">
        <v>121</v>
      </c>
      <c r="B35" s="252" t="s">
        <v>73</v>
      </c>
      <c r="C35" s="252" t="s">
        <v>202</v>
      </c>
      <c r="D35" s="252" t="s">
        <v>202</v>
      </c>
      <c r="E35" s="252" t="s">
        <v>751</v>
      </c>
      <c r="F35" s="252" t="s">
        <v>94</v>
      </c>
      <c r="G35" s="257"/>
      <c r="H35" s="257"/>
      <c r="I35" s="257"/>
      <c r="J35" s="275"/>
      <c r="K35" s="257"/>
      <c r="L35" s="257"/>
      <c r="M35" s="257"/>
      <c r="N35" s="257"/>
      <c r="O35" s="257"/>
      <c r="P35" s="257"/>
      <c r="Q35" s="257"/>
      <c r="R35" s="257">
        <v>0</v>
      </c>
      <c r="S35" s="257">
        <v>5</v>
      </c>
      <c r="T35" s="257">
        <v>0</v>
      </c>
      <c r="U35" s="257">
        <v>10</v>
      </c>
      <c r="V35" s="257">
        <v>0</v>
      </c>
      <c r="W35" s="257">
        <v>10</v>
      </c>
      <c r="X35" s="257">
        <f>V35+W35</f>
        <v>10</v>
      </c>
      <c r="Y35" s="257">
        <v>0</v>
      </c>
      <c r="Z35" s="257">
        <f>X35+Y35</f>
        <v>10</v>
      </c>
    </row>
    <row r="36" spans="1:26" s="430" customFormat="1" ht="14.25" x14ac:dyDescent="0.2">
      <c r="A36" s="462" t="s">
        <v>80</v>
      </c>
      <c r="B36" s="250" t="s">
        <v>73</v>
      </c>
      <c r="C36" s="250" t="s">
        <v>233</v>
      </c>
      <c r="D36" s="250"/>
      <c r="E36" s="250"/>
      <c r="F36" s="250"/>
      <c r="G36" s="275" t="e">
        <f>G37+G68</f>
        <v>#REF!</v>
      </c>
      <c r="H36" s="275" t="e">
        <f>H37+H68</f>
        <v>#REF!</v>
      </c>
      <c r="I36" s="275" t="e">
        <f>I37+I68</f>
        <v>#REF!</v>
      </c>
      <c r="J36" s="275" t="e">
        <f t="shared" si="29"/>
        <v>#REF!</v>
      </c>
      <c r="K36" s="275" t="e">
        <f t="shared" ref="K36:U36" si="37">K37+K68</f>
        <v>#REF!</v>
      </c>
      <c r="L36" s="275" t="e">
        <f t="shared" si="37"/>
        <v>#REF!</v>
      </c>
      <c r="M36" s="275" t="e">
        <f t="shared" si="37"/>
        <v>#REF!</v>
      </c>
      <c r="N36" s="275" t="e">
        <f t="shared" si="37"/>
        <v>#REF!</v>
      </c>
      <c r="O36" s="275" t="e">
        <f t="shared" si="37"/>
        <v>#REF!</v>
      </c>
      <c r="P36" s="275" t="e">
        <f t="shared" si="37"/>
        <v>#REF!</v>
      </c>
      <c r="Q36" s="275" t="e">
        <f t="shared" si="37"/>
        <v>#REF!</v>
      </c>
      <c r="R36" s="275" t="e">
        <f t="shared" si="37"/>
        <v>#REF!</v>
      </c>
      <c r="S36" s="275" t="e">
        <f t="shared" si="37"/>
        <v>#REF!</v>
      </c>
      <c r="T36" s="275">
        <f t="shared" si="37"/>
        <v>48433.25</v>
      </c>
      <c r="U36" s="275">
        <f t="shared" si="37"/>
        <v>4019.0299999999997</v>
      </c>
      <c r="V36" s="275">
        <f>V37+V68</f>
        <v>40661.5</v>
      </c>
      <c r="W36" s="275">
        <f t="shared" ref="W36:X36" si="38">W37+W68</f>
        <v>12913.368</v>
      </c>
      <c r="X36" s="275">
        <f t="shared" si="38"/>
        <v>84520.208000000013</v>
      </c>
      <c r="Y36" s="275">
        <f t="shared" ref="Y36:Z36" si="39">Y37+Y68</f>
        <v>-21691.510000000006</v>
      </c>
      <c r="Z36" s="275">
        <f t="shared" si="39"/>
        <v>62828.697999999997</v>
      </c>
    </row>
    <row r="37" spans="1:26" x14ac:dyDescent="0.2">
      <c r="A37" s="462" t="s">
        <v>81</v>
      </c>
      <c r="B37" s="250" t="s">
        <v>73</v>
      </c>
      <c r="C37" s="250" t="s">
        <v>233</v>
      </c>
      <c r="D37" s="250" t="s">
        <v>190</v>
      </c>
      <c r="E37" s="250"/>
      <c r="F37" s="250"/>
      <c r="G37" s="262" t="e">
        <f>#REF!+#REF!+#REF!+G38+G56+G62</f>
        <v>#REF!</v>
      </c>
      <c r="H37" s="262">
        <f>H38+H56+H62</f>
        <v>15505.8</v>
      </c>
      <c r="I37" s="262">
        <f>I38+I56+I62</f>
        <v>0</v>
      </c>
      <c r="J37" s="262">
        <f>J38+J56+J62</f>
        <v>15505.8</v>
      </c>
      <c r="K37" s="262" t="e">
        <f>K38+K56</f>
        <v>#REF!</v>
      </c>
      <c r="L37" s="262" t="e">
        <f>L38+L56</f>
        <v>#REF!</v>
      </c>
      <c r="M37" s="262" t="e">
        <f>M38+M56</f>
        <v>#REF!</v>
      </c>
      <c r="N37" s="262" t="e">
        <f t="shared" ref="N37:Q37" si="40">N38+N56</f>
        <v>#REF!</v>
      </c>
      <c r="O37" s="262" t="e">
        <f t="shared" si="40"/>
        <v>#REF!</v>
      </c>
      <c r="P37" s="262" t="e">
        <f t="shared" si="40"/>
        <v>#REF!</v>
      </c>
      <c r="Q37" s="262" t="e">
        <f t="shared" si="40"/>
        <v>#REF!</v>
      </c>
      <c r="R37" s="262" t="e">
        <f>R38+R56</f>
        <v>#REF!</v>
      </c>
      <c r="S37" s="262" t="e">
        <f t="shared" ref="S37" si="41">S38+S56</f>
        <v>#REF!</v>
      </c>
      <c r="T37" s="262">
        <f>T38+T56+T65</f>
        <v>36644.25</v>
      </c>
      <c r="U37" s="262">
        <f t="shared" ref="U37:V37" si="42">U38+U56+U65</f>
        <v>4353.03</v>
      </c>
      <c r="V37" s="262">
        <f t="shared" si="42"/>
        <v>30712.5</v>
      </c>
      <c r="W37" s="262">
        <f t="shared" ref="W37:Y37" si="43">W38+W56+W65</f>
        <v>10517.368</v>
      </c>
      <c r="X37" s="262">
        <f>X38+X56+X65</f>
        <v>71474.208000000013</v>
      </c>
      <c r="Y37" s="262">
        <f t="shared" si="43"/>
        <v>-21696.510000000006</v>
      </c>
      <c r="Z37" s="262">
        <f>Z38+Z56+Z65</f>
        <v>49777.697999999997</v>
      </c>
    </row>
    <row r="38" spans="1:26" ht="21" customHeight="1" x14ac:dyDescent="0.2">
      <c r="A38" s="462" t="s">
        <v>1056</v>
      </c>
      <c r="B38" s="250" t="s">
        <v>73</v>
      </c>
      <c r="C38" s="250" t="s">
        <v>233</v>
      </c>
      <c r="D38" s="250" t="s">
        <v>190</v>
      </c>
      <c r="E38" s="253" t="s">
        <v>747</v>
      </c>
      <c r="F38" s="250"/>
      <c r="G38" s="257">
        <f>G39</f>
        <v>0</v>
      </c>
      <c r="H38" s="257">
        <f>H39</f>
        <v>9786</v>
      </c>
      <c r="I38" s="257">
        <f>I39</f>
        <v>0</v>
      </c>
      <c r="J38" s="257">
        <f t="shared" ref="J38:J61" si="44">H38+I38</f>
        <v>9786</v>
      </c>
      <c r="K38" s="257" t="e">
        <f>K39+#REF!+#REF!+#REF!</f>
        <v>#REF!</v>
      </c>
      <c r="L38" s="257">
        <f>L39+L43</f>
        <v>11330</v>
      </c>
      <c r="M38" s="257">
        <f>M39+M43</f>
        <v>11330</v>
      </c>
      <c r="N38" s="257">
        <f>N39+N43</f>
        <v>3007</v>
      </c>
      <c r="O38" s="257">
        <f t="shared" ref="O38:Q38" si="45">O39+O43</f>
        <v>14337</v>
      </c>
      <c r="P38" s="257">
        <f t="shared" si="45"/>
        <v>14337</v>
      </c>
      <c r="Q38" s="257">
        <f t="shared" si="45"/>
        <v>0</v>
      </c>
      <c r="R38" s="257">
        <f>R39+R40+R42+R43+R44</f>
        <v>14337</v>
      </c>
      <c r="S38" s="257">
        <f t="shared" ref="S38" si="46">S39+S40+S42+S43+S44</f>
        <v>12027.35</v>
      </c>
      <c r="T38" s="257">
        <f>T39+T40+T42+T43+T44+T50</f>
        <v>25659.35</v>
      </c>
      <c r="U38" s="257">
        <f t="shared" ref="U38:V38" si="47">U39+U40+U42+U43+U44+U50</f>
        <v>1741.03</v>
      </c>
      <c r="V38" s="257">
        <f t="shared" si="47"/>
        <v>19748</v>
      </c>
      <c r="W38" s="257">
        <f t="shared" ref="W38" si="48">W39+W40+W42+W43+W44+W50</f>
        <v>7589</v>
      </c>
      <c r="X38" s="257">
        <f>X39+X40+X42+X43+X44+X50+X53+X47+X41</f>
        <v>56255.820000000007</v>
      </c>
      <c r="Y38" s="257">
        <f t="shared" ref="Y38:Z38" si="49">Y39+Y40+Y42+Y43+Y44+Y50+Y53+Y47+Y41</f>
        <v>-23628.990000000005</v>
      </c>
      <c r="Z38" s="257">
        <f t="shared" si="49"/>
        <v>32626.829999999998</v>
      </c>
    </row>
    <row r="39" spans="1:26" ht="32.25" customHeight="1" x14ac:dyDescent="0.2">
      <c r="A39" s="259" t="s">
        <v>76</v>
      </c>
      <c r="B39" s="252" t="s">
        <v>73</v>
      </c>
      <c r="C39" s="252" t="s">
        <v>233</v>
      </c>
      <c r="D39" s="252" t="s">
        <v>190</v>
      </c>
      <c r="E39" s="251" t="s">
        <v>747</v>
      </c>
      <c r="F39" s="252" t="s">
        <v>77</v>
      </c>
      <c r="G39" s="257"/>
      <c r="H39" s="257">
        <v>9786</v>
      </c>
      <c r="I39" s="257">
        <v>0</v>
      </c>
      <c r="J39" s="257">
        <f t="shared" si="44"/>
        <v>9786</v>
      </c>
      <c r="K39" s="257">
        <v>2036.5039999999999</v>
      </c>
      <c r="L39" s="257">
        <f>12830-1500</f>
        <v>11330</v>
      </c>
      <c r="M39" s="257">
        <f>12830-1500</f>
        <v>11330</v>
      </c>
      <c r="N39" s="257">
        <v>3007</v>
      </c>
      <c r="O39" s="257">
        <f>M39+N39</f>
        <v>14337</v>
      </c>
      <c r="P39" s="257">
        <v>14337</v>
      </c>
      <c r="Q39" s="257">
        <v>0</v>
      </c>
      <c r="R39" s="257">
        <f>P39+Q39</f>
        <v>14337</v>
      </c>
      <c r="S39" s="257">
        <f>2702+705</f>
        <v>3407</v>
      </c>
      <c r="T39" s="257">
        <v>17039</v>
      </c>
      <c r="U39" s="257">
        <v>1838</v>
      </c>
      <c r="V39" s="257">
        <v>17039</v>
      </c>
      <c r="W39" s="257">
        <v>5089</v>
      </c>
      <c r="X39" s="257">
        <v>24918</v>
      </c>
      <c r="Y39" s="257">
        <v>0</v>
      </c>
      <c r="Z39" s="257">
        <f t="shared" ref="Z39:Z43" si="50">X39+Y39</f>
        <v>24918</v>
      </c>
    </row>
    <row r="40" spans="1:26" ht="32.25" customHeight="1" x14ac:dyDescent="0.2">
      <c r="A40" s="259" t="s">
        <v>76</v>
      </c>
      <c r="B40" s="252" t="s">
        <v>73</v>
      </c>
      <c r="C40" s="252" t="s">
        <v>233</v>
      </c>
      <c r="D40" s="252" t="s">
        <v>190</v>
      </c>
      <c r="E40" s="251" t="s">
        <v>1057</v>
      </c>
      <c r="F40" s="252" t="s">
        <v>77</v>
      </c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>
        <f>5700</f>
        <v>5700</v>
      </c>
      <c r="T40" s="257">
        <v>5700</v>
      </c>
      <c r="U40" s="257">
        <v>0</v>
      </c>
      <c r="V40" s="257">
        <v>0</v>
      </c>
      <c r="W40" s="257">
        <v>2500</v>
      </c>
      <c r="X40" s="257">
        <v>2500</v>
      </c>
      <c r="Y40" s="257">
        <v>-2500</v>
      </c>
      <c r="Z40" s="257">
        <f t="shared" si="50"/>
        <v>0</v>
      </c>
    </row>
    <row r="41" spans="1:26" ht="32.25" customHeight="1" x14ac:dyDescent="0.2">
      <c r="A41" s="259" t="s">
        <v>76</v>
      </c>
      <c r="B41" s="252" t="s">
        <v>73</v>
      </c>
      <c r="C41" s="252" t="s">
        <v>233</v>
      </c>
      <c r="D41" s="252" t="s">
        <v>190</v>
      </c>
      <c r="E41" s="251" t="s">
        <v>1250</v>
      </c>
      <c r="F41" s="252" t="s">
        <v>77</v>
      </c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>
        <f>5700</f>
        <v>5700</v>
      </c>
      <c r="T41" s="257">
        <v>5700</v>
      </c>
      <c r="U41" s="257">
        <v>0</v>
      </c>
      <c r="V41" s="257">
        <v>0</v>
      </c>
      <c r="W41" s="257">
        <v>2500</v>
      </c>
      <c r="X41" s="257">
        <v>0</v>
      </c>
      <c r="Y41" s="257">
        <v>5000</v>
      </c>
      <c r="Z41" s="257">
        <f t="shared" ref="Z41" si="51">X41+Y41</f>
        <v>5000</v>
      </c>
    </row>
    <row r="42" spans="1:26" ht="32.25" customHeight="1" x14ac:dyDescent="0.2">
      <c r="A42" s="259" t="s">
        <v>76</v>
      </c>
      <c r="B42" s="252" t="s">
        <v>73</v>
      </c>
      <c r="C42" s="252" t="s">
        <v>233</v>
      </c>
      <c r="D42" s="252" t="s">
        <v>190</v>
      </c>
      <c r="E42" s="251" t="s">
        <v>1058</v>
      </c>
      <c r="F42" s="252" t="s">
        <v>77</v>
      </c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>
        <f>2652-1026</f>
        <v>1626</v>
      </c>
      <c r="T42" s="257">
        <f t="shared" ref="T42:T43" si="52">R42+S42</f>
        <v>1626</v>
      </c>
      <c r="U42" s="257">
        <v>0</v>
      </c>
      <c r="V42" s="257">
        <v>1626</v>
      </c>
      <c r="W42" s="257">
        <v>0</v>
      </c>
      <c r="X42" s="257">
        <v>1626</v>
      </c>
      <c r="Y42" s="257">
        <v>0</v>
      </c>
      <c r="Z42" s="257">
        <f t="shared" si="50"/>
        <v>1626</v>
      </c>
    </row>
    <row r="43" spans="1:26" ht="32.25" customHeight="1" x14ac:dyDescent="0.2">
      <c r="A43" s="259" t="s">
        <v>997</v>
      </c>
      <c r="B43" s="252" t="s">
        <v>73</v>
      </c>
      <c r="C43" s="252" t="s">
        <v>233</v>
      </c>
      <c r="D43" s="252" t="s">
        <v>190</v>
      </c>
      <c r="E43" s="251" t="s">
        <v>747</v>
      </c>
      <c r="F43" s="252" t="s">
        <v>79</v>
      </c>
      <c r="G43" s="257"/>
      <c r="H43" s="257"/>
      <c r="I43" s="257"/>
      <c r="J43" s="257"/>
      <c r="K43" s="257"/>
      <c r="L43" s="257">
        <v>0</v>
      </c>
      <c r="M43" s="257">
        <v>0</v>
      </c>
      <c r="N43" s="257">
        <v>0</v>
      </c>
      <c r="O43" s="257">
        <f>M43+N43</f>
        <v>0</v>
      </c>
      <c r="P43" s="257">
        <v>0</v>
      </c>
      <c r="Q43" s="257">
        <v>0</v>
      </c>
      <c r="R43" s="257">
        <f>P43+Q43</f>
        <v>0</v>
      </c>
      <c r="S43" s="257">
        <v>500</v>
      </c>
      <c r="T43" s="257">
        <f t="shared" si="52"/>
        <v>500</v>
      </c>
      <c r="U43" s="257">
        <v>0</v>
      </c>
      <c r="V43" s="257">
        <v>500</v>
      </c>
      <c r="W43" s="257">
        <v>0</v>
      </c>
      <c r="X43" s="257">
        <v>500</v>
      </c>
      <c r="Y43" s="257">
        <v>0</v>
      </c>
      <c r="Z43" s="257">
        <f t="shared" si="50"/>
        <v>500</v>
      </c>
    </row>
    <row r="44" spans="1:26" ht="32.25" customHeight="1" x14ac:dyDescent="0.2">
      <c r="A44" s="259" t="s">
        <v>1109</v>
      </c>
      <c r="B44" s="252" t="s">
        <v>73</v>
      </c>
      <c r="C44" s="252" t="s">
        <v>233</v>
      </c>
      <c r="D44" s="252" t="s">
        <v>190</v>
      </c>
      <c r="E44" s="251" t="s">
        <v>1110</v>
      </c>
      <c r="F44" s="252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>
        <f>R45+R46</f>
        <v>0</v>
      </c>
      <c r="S44" s="257">
        <f t="shared" ref="S44" si="53">S45+S46</f>
        <v>794.35</v>
      </c>
      <c r="T44" s="257">
        <f>T45+T46</f>
        <v>794.35</v>
      </c>
      <c r="U44" s="257">
        <f t="shared" ref="U44:W44" si="54">U45+U46</f>
        <v>-147.97999999999999</v>
      </c>
      <c r="V44" s="257">
        <f>V45+V46</f>
        <v>583</v>
      </c>
      <c r="W44" s="257">
        <f t="shared" si="54"/>
        <v>0</v>
      </c>
      <c r="X44" s="257">
        <f t="shared" ref="X44:Y44" si="55">X45+X46</f>
        <v>571.5200000000001</v>
      </c>
      <c r="Y44" s="257">
        <f t="shared" si="55"/>
        <v>-571.52</v>
      </c>
      <c r="Z44" s="257">
        <f>Z45+Z46</f>
        <v>0</v>
      </c>
    </row>
    <row r="45" spans="1:26" ht="16.5" customHeight="1" x14ac:dyDescent="0.2">
      <c r="A45" s="259" t="s">
        <v>78</v>
      </c>
      <c r="B45" s="252" t="s">
        <v>73</v>
      </c>
      <c r="C45" s="252" t="s">
        <v>233</v>
      </c>
      <c r="D45" s="252" t="s">
        <v>190</v>
      </c>
      <c r="E45" s="251" t="s">
        <v>1110</v>
      </c>
      <c r="F45" s="252" t="s">
        <v>79</v>
      </c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>
        <v>786.4</v>
      </c>
      <c r="T45" s="257">
        <f>R45+S45</f>
        <v>786.4</v>
      </c>
      <c r="U45" s="257">
        <v>-146.5</v>
      </c>
      <c r="V45" s="257">
        <v>577.1</v>
      </c>
      <c r="W45" s="257">
        <v>0</v>
      </c>
      <c r="X45" s="257">
        <v>565.80000000000007</v>
      </c>
      <c r="Y45" s="257">
        <v>-565.79999999999995</v>
      </c>
      <c r="Z45" s="257">
        <f>X45+Y45</f>
        <v>0</v>
      </c>
    </row>
    <row r="46" spans="1:26" ht="18.75" customHeight="1" x14ac:dyDescent="0.2">
      <c r="A46" s="259" t="s">
        <v>1111</v>
      </c>
      <c r="B46" s="252" t="s">
        <v>73</v>
      </c>
      <c r="C46" s="252" t="s">
        <v>233</v>
      </c>
      <c r="D46" s="252" t="s">
        <v>190</v>
      </c>
      <c r="E46" s="251" t="s">
        <v>1110</v>
      </c>
      <c r="F46" s="252" t="s">
        <v>79</v>
      </c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>
        <v>7.95</v>
      </c>
      <c r="T46" s="257">
        <f>R46+S46</f>
        <v>7.95</v>
      </c>
      <c r="U46" s="257">
        <v>-1.48</v>
      </c>
      <c r="V46" s="257">
        <v>5.9</v>
      </c>
      <c r="W46" s="257">
        <v>0</v>
      </c>
      <c r="X46" s="257">
        <v>5.7200000000000006</v>
      </c>
      <c r="Y46" s="257">
        <v>-5.72</v>
      </c>
      <c r="Z46" s="257">
        <f>X46+Y46</f>
        <v>0</v>
      </c>
    </row>
    <row r="47" spans="1:26" ht="47.25" customHeight="1" x14ac:dyDescent="0.2">
      <c r="A47" s="259" t="s">
        <v>1239</v>
      </c>
      <c r="B47" s="252" t="s">
        <v>73</v>
      </c>
      <c r="C47" s="252" t="s">
        <v>233</v>
      </c>
      <c r="D47" s="252" t="s">
        <v>190</v>
      </c>
      <c r="E47" s="251" t="s">
        <v>1240</v>
      </c>
      <c r="F47" s="252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>
        <f>R48+R49</f>
        <v>0</v>
      </c>
      <c r="S47" s="257">
        <f t="shared" ref="S47" si="56">S48+S49</f>
        <v>794.35</v>
      </c>
      <c r="T47" s="257">
        <f>T48+T49</f>
        <v>794.35</v>
      </c>
      <c r="U47" s="257">
        <f t="shared" ref="U47" si="57">U48+U49</f>
        <v>-147.97999999999999</v>
      </c>
      <c r="V47" s="257">
        <f>V48+V49</f>
        <v>583</v>
      </c>
      <c r="W47" s="257">
        <f t="shared" ref="W47:Y47" si="58">W48+W49</f>
        <v>0</v>
      </c>
      <c r="X47" s="257">
        <f t="shared" si="58"/>
        <v>0</v>
      </c>
      <c r="Y47" s="257">
        <f t="shared" si="58"/>
        <v>531.82000000000016</v>
      </c>
      <c r="Z47" s="257">
        <f>Z48+Z49</f>
        <v>531.82000000000016</v>
      </c>
    </row>
    <row r="48" spans="1:26" ht="18.75" customHeight="1" x14ac:dyDescent="0.2">
      <c r="A48" s="259" t="s">
        <v>78</v>
      </c>
      <c r="B48" s="252" t="s">
        <v>73</v>
      </c>
      <c r="C48" s="252" t="s">
        <v>233</v>
      </c>
      <c r="D48" s="252" t="s">
        <v>190</v>
      </c>
      <c r="E48" s="251" t="s">
        <v>1240</v>
      </c>
      <c r="F48" s="252" t="s">
        <v>79</v>
      </c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>
        <v>786.4</v>
      </c>
      <c r="T48" s="257">
        <f>R48+S48</f>
        <v>786.4</v>
      </c>
      <c r="U48" s="257">
        <v>-146.5</v>
      </c>
      <c r="V48" s="257">
        <v>577.1</v>
      </c>
      <c r="W48" s="257">
        <v>0</v>
      </c>
      <c r="X48" s="257">
        <v>0</v>
      </c>
      <c r="Y48" s="257">
        <v>526.50000000000011</v>
      </c>
      <c r="Z48" s="257">
        <f>X48+Y48</f>
        <v>526.50000000000011</v>
      </c>
    </row>
    <row r="49" spans="1:26" ht="18.75" customHeight="1" x14ac:dyDescent="0.2">
      <c r="A49" s="259" t="s">
        <v>1111</v>
      </c>
      <c r="B49" s="252" t="s">
        <v>73</v>
      </c>
      <c r="C49" s="252" t="s">
        <v>233</v>
      </c>
      <c r="D49" s="252" t="s">
        <v>190</v>
      </c>
      <c r="E49" s="251" t="s">
        <v>1240</v>
      </c>
      <c r="F49" s="252" t="s">
        <v>79</v>
      </c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>
        <v>7.95</v>
      </c>
      <c r="T49" s="257">
        <f>R49+S49</f>
        <v>7.95</v>
      </c>
      <c r="U49" s="257">
        <v>-1.48</v>
      </c>
      <c r="V49" s="257">
        <v>5.9</v>
      </c>
      <c r="W49" s="257">
        <v>0</v>
      </c>
      <c r="X49" s="257">
        <v>0</v>
      </c>
      <c r="Y49" s="257">
        <v>5.32</v>
      </c>
      <c r="Z49" s="257">
        <f>X49+Y49</f>
        <v>5.32</v>
      </c>
    </row>
    <row r="50" spans="1:26" ht="31.5" customHeight="1" x14ac:dyDescent="0.2">
      <c r="A50" s="259" t="s">
        <v>1208</v>
      </c>
      <c r="B50" s="252" t="s">
        <v>73</v>
      </c>
      <c r="C50" s="252" t="s">
        <v>233</v>
      </c>
      <c r="D50" s="252" t="s">
        <v>190</v>
      </c>
      <c r="E50" s="251" t="s">
        <v>1209</v>
      </c>
      <c r="F50" s="252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>
        <f>T51+T52</f>
        <v>0</v>
      </c>
      <c r="U50" s="257">
        <f t="shared" ref="U50:V50" si="59">U51+U52</f>
        <v>51.01</v>
      </c>
      <c r="V50" s="257">
        <f t="shared" si="59"/>
        <v>0</v>
      </c>
      <c r="W50" s="257">
        <f t="shared" ref="W50:X50" si="60">W51+W52</f>
        <v>0</v>
      </c>
      <c r="X50" s="257">
        <f t="shared" si="60"/>
        <v>26140.300000000003</v>
      </c>
      <c r="Y50" s="257">
        <f t="shared" ref="Y50:Z50" si="61">Y51+Y52</f>
        <v>-26140.300000000003</v>
      </c>
      <c r="Z50" s="257">
        <f t="shared" si="61"/>
        <v>0</v>
      </c>
    </row>
    <row r="51" spans="1:26" ht="18.75" customHeight="1" x14ac:dyDescent="0.2">
      <c r="A51" s="259" t="s">
        <v>78</v>
      </c>
      <c r="B51" s="252" t="s">
        <v>73</v>
      </c>
      <c r="C51" s="252" t="s">
        <v>233</v>
      </c>
      <c r="D51" s="252" t="s">
        <v>190</v>
      </c>
      <c r="E51" s="251" t="s">
        <v>1209</v>
      </c>
      <c r="F51" s="252" t="s">
        <v>79</v>
      </c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>
        <v>0</v>
      </c>
      <c r="U51" s="257">
        <v>50.5</v>
      </c>
      <c r="V51" s="257">
        <v>0</v>
      </c>
      <c r="W51" s="257">
        <v>0</v>
      </c>
      <c r="X51" s="257">
        <v>25878.9</v>
      </c>
      <c r="Y51" s="257">
        <v>-25878.9</v>
      </c>
      <c r="Z51" s="257">
        <f>X51+Y51</f>
        <v>0</v>
      </c>
    </row>
    <row r="52" spans="1:26" ht="18.75" customHeight="1" x14ac:dyDescent="0.2">
      <c r="A52" s="259" t="s">
        <v>1111</v>
      </c>
      <c r="B52" s="252" t="s">
        <v>73</v>
      </c>
      <c r="C52" s="252" t="s">
        <v>233</v>
      </c>
      <c r="D52" s="252" t="s">
        <v>190</v>
      </c>
      <c r="E52" s="251" t="s">
        <v>1209</v>
      </c>
      <c r="F52" s="252" t="s">
        <v>79</v>
      </c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>
        <v>0</v>
      </c>
      <c r="U52" s="257">
        <v>0.51</v>
      </c>
      <c r="V52" s="257">
        <v>0</v>
      </c>
      <c r="W52" s="257">
        <v>0</v>
      </c>
      <c r="X52" s="257">
        <v>261.39999999999998</v>
      </c>
      <c r="Y52" s="257">
        <v>-261.39999999999998</v>
      </c>
      <c r="Z52" s="257">
        <f>X52+Y52</f>
        <v>0</v>
      </c>
    </row>
    <row r="53" spans="1:26" ht="29.25" customHeight="1" x14ac:dyDescent="0.2">
      <c r="A53" s="259" t="s">
        <v>1235</v>
      </c>
      <c r="B53" s="252" t="s">
        <v>73</v>
      </c>
      <c r="C53" s="252" t="s">
        <v>233</v>
      </c>
      <c r="D53" s="252" t="s">
        <v>190</v>
      </c>
      <c r="E53" s="251" t="s">
        <v>1236</v>
      </c>
      <c r="F53" s="252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>
        <v>0</v>
      </c>
      <c r="U53" s="257">
        <v>51.01</v>
      </c>
      <c r="V53" s="257">
        <v>0</v>
      </c>
      <c r="W53" s="257">
        <v>0</v>
      </c>
      <c r="X53" s="257">
        <f>X54+X55</f>
        <v>0</v>
      </c>
      <c r="Y53" s="257">
        <f t="shared" ref="Y53:Z53" si="62">Y54+Y55</f>
        <v>51.01</v>
      </c>
      <c r="Z53" s="257">
        <f t="shared" si="62"/>
        <v>51.01</v>
      </c>
    </row>
    <row r="54" spans="1:26" ht="18.75" customHeight="1" x14ac:dyDescent="0.2">
      <c r="A54" s="259" t="s">
        <v>78</v>
      </c>
      <c r="B54" s="252" t="s">
        <v>73</v>
      </c>
      <c r="C54" s="252" t="s">
        <v>233</v>
      </c>
      <c r="D54" s="252" t="s">
        <v>190</v>
      </c>
      <c r="E54" s="251" t="s">
        <v>1236</v>
      </c>
      <c r="F54" s="252" t="s">
        <v>79</v>
      </c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>
        <v>0</v>
      </c>
      <c r="U54" s="257">
        <v>50.5</v>
      </c>
      <c r="V54" s="257">
        <v>0</v>
      </c>
      <c r="W54" s="257">
        <v>0</v>
      </c>
      <c r="X54" s="257">
        <v>0</v>
      </c>
      <c r="Y54" s="257">
        <v>50.5</v>
      </c>
      <c r="Z54" s="257">
        <f>X54+Y54</f>
        <v>50.5</v>
      </c>
    </row>
    <row r="55" spans="1:26" ht="18.75" customHeight="1" x14ac:dyDescent="0.2">
      <c r="A55" s="259" t="s">
        <v>1111</v>
      </c>
      <c r="B55" s="252" t="s">
        <v>73</v>
      </c>
      <c r="C55" s="252" t="s">
        <v>233</v>
      </c>
      <c r="D55" s="252" t="s">
        <v>190</v>
      </c>
      <c r="E55" s="251" t="s">
        <v>1236</v>
      </c>
      <c r="F55" s="252" t="s">
        <v>79</v>
      </c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>
        <v>0</v>
      </c>
      <c r="U55" s="257">
        <v>0.51</v>
      </c>
      <c r="V55" s="257">
        <v>0</v>
      </c>
      <c r="W55" s="257">
        <v>0</v>
      </c>
      <c r="X55" s="257">
        <v>0</v>
      </c>
      <c r="Y55" s="257">
        <v>0.51</v>
      </c>
      <c r="Z55" s="257">
        <f>X55+Y55</f>
        <v>0.51</v>
      </c>
    </row>
    <row r="56" spans="1:26" ht="24.75" customHeight="1" x14ac:dyDescent="0.2">
      <c r="A56" s="462" t="s">
        <v>1059</v>
      </c>
      <c r="B56" s="250" t="s">
        <v>73</v>
      </c>
      <c r="C56" s="250" t="s">
        <v>233</v>
      </c>
      <c r="D56" s="250" t="s">
        <v>190</v>
      </c>
      <c r="E56" s="253" t="s">
        <v>746</v>
      </c>
      <c r="F56" s="250"/>
      <c r="G56" s="257">
        <f>G57+G61</f>
        <v>0</v>
      </c>
      <c r="H56" s="257">
        <f>H57+H61</f>
        <v>5716</v>
      </c>
      <c r="I56" s="257">
        <f>I57+I61</f>
        <v>0</v>
      </c>
      <c r="J56" s="257">
        <f t="shared" si="44"/>
        <v>5716</v>
      </c>
      <c r="K56" s="257" t="e">
        <f>K57+K61+#REF!+K62</f>
        <v>#REF!</v>
      </c>
      <c r="L56" s="257" t="e">
        <f>L57+L61+#REF!+L62+L64</f>
        <v>#REF!</v>
      </c>
      <c r="M56" s="257" t="e">
        <f>M57+M61+#REF!+M62+M64</f>
        <v>#REF!</v>
      </c>
      <c r="N56" s="257" t="e">
        <f>N57+N61+#REF!+N62+N64</f>
        <v>#REF!</v>
      </c>
      <c r="O56" s="257" t="e">
        <f>O57+O61+#REF!+O62+O64</f>
        <v>#REF!</v>
      </c>
      <c r="P56" s="257" t="e">
        <f>P57+P61+#REF!+P62+P64</f>
        <v>#REF!</v>
      </c>
      <c r="Q56" s="257" t="e">
        <f>Q57+Q61+#REF!+Q62+Q64</f>
        <v>#REF!</v>
      </c>
      <c r="R56" s="257" t="e">
        <f>R57+R58+R60+R61+#REF!</f>
        <v>#REF!</v>
      </c>
      <c r="S56" s="257" t="e">
        <f>S57+S58+S60+S61+#REF!</f>
        <v>#REF!</v>
      </c>
      <c r="T56" s="257">
        <f>T57+T58+T60+T61+T62</f>
        <v>10984.9</v>
      </c>
      <c r="U56" s="257">
        <f t="shared" ref="U56:V56" si="63">U57+U58+U60+U61+U62</f>
        <v>612</v>
      </c>
      <c r="V56" s="257">
        <f t="shared" si="63"/>
        <v>8964.5</v>
      </c>
      <c r="W56" s="257">
        <f t="shared" ref="W56" si="64">W57+W58+W60+W61+W62</f>
        <v>2855.3679999999999</v>
      </c>
      <c r="X56" s="257">
        <f>X57+X58+X60+X61+X62+X59</f>
        <v>13206.388000000001</v>
      </c>
      <c r="Y56" s="257">
        <f t="shared" ref="Y56:Z56" si="65">Y57+Y58+Y60+Y61+Y62+Y59</f>
        <v>1261.48</v>
      </c>
      <c r="Z56" s="257">
        <f t="shared" si="65"/>
        <v>14467.868</v>
      </c>
    </row>
    <row r="57" spans="1:26" ht="32.25" customHeight="1" x14ac:dyDescent="0.2">
      <c r="A57" s="259" t="s">
        <v>76</v>
      </c>
      <c r="B57" s="252" t="s">
        <v>73</v>
      </c>
      <c r="C57" s="252" t="s">
        <v>233</v>
      </c>
      <c r="D57" s="252" t="s">
        <v>190</v>
      </c>
      <c r="E57" s="251" t="s">
        <v>746</v>
      </c>
      <c r="F57" s="252" t="s">
        <v>77</v>
      </c>
      <c r="G57" s="257"/>
      <c r="H57" s="257">
        <v>5466</v>
      </c>
      <c r="I57" s="257">
        <v>0</v>
      </c>
      <c r="J57" s="257">
        <f t="shared" si="44"/>
        <v>5466</v>
      </c>
      <c r="K57" s="257">
        <v>1033.95</v>
      </c>
      <c r="L57" s="257">
        <f>6420-500</f>
        <v>5920</v>
      </c>
      <c r="M57" s="257">
        <f>6420-500</f>
        <v>5920</v>
      </c>
      <c r="N57" s="257">
        <v>630</v>
      </c>
      <c r="O57" s="257">
        <f>M57+N57</f>
        <v>6550</v>
      </c>
      <c r="P57" s="257">
        <v>6550</v>
      </c>
      <c r="Q57" s="257">
        <v>0</v>
      </c>
      <c r="R57" s="257">
        <f>P57+Q57</f>
        <v>6550</v>
      </c>
      <c r="S57" s="257">
        <f>1742+374</f>
        <v>2116</v>
      </c>
      <c r="T57" s="257">
        <v>8292</v>
      </c>
      <c r="U57" s="257">
        <v>612</v>
      </c>
      <c r="V57" s="257">
        <v>8292</v>
      </c>
      <c r="W57" s="257">
        <v>588</v>
      </c>
      <c r="X57" s="257">
        <v>10948</v>
      </c>
      <c r="Y57" s="257">
        <v>-1700</v>
      </c>
      <c r="Z57" s="257">
        <f t="shared" ref="Z57:Z60" si="66">X57+Y57</f>
        <v>9248</v>
      </c>
    </row>
    <row r="58" spans="1:26" ht="32.25" customHeight="1" x14ac:dyDescent="0.2">
      <c r="A58" s="259" t="s">
        <v>76</v>
      </c>
      <c r="B58" s="252" t="s">
        <v>73</v>
      </c>
      <c r="C58" s="252" t="s">
        <v>233</v>
      </c>
      <c r="D58" s="252" t="s">
        <v>190</v>
      </c>
      <c r="E58" s="251" t="s">
        <v>1060</v>
      </c>
      <c r="F58" s="252" t="s">
        <v>77</v>
      </c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>
        <f>2020</f>
        <v>2020</v>
      </c>
      <c r="T58" s="257">
        <f t="shared" ref="T58:T60" si="67">R58+S58</f>
        <v>2020</v>
      </c>
      <c r="U58" s="257">
        <v>0</v>
      </c>
      <c r="V58" s="257">
        <v>0</v>
      </c>
      <c r="W58" s="257">
        <v>2200</v>
      </c>
      <c r="X58" s="257">
        <v>2200</v>
      </c>
      <c r="Y58" s="257">
        <v>-2200</v>
      </c>
      <c r="Z58" s="257">
        <f t="shared" si="66"/>
        <v>0</v>
      </c>
    </row>
    <row r="59" spans="1:26" ht="32.25" customHeight="1" x14ac:dyDescent="0.2">
      <c r="A59" s="259" t="s">
        <v>76</v>
      </c>
      <c r="B59" s="252" t="s">
        <v>73</v>
      </c>
      <c r="C59" s="252" t="s">
        <v>233</v>
      </c>
      <c r="D59" s="252" t="s">
        <v>190</v>
      </c>
      <c r="E59" s="251" t="s">
        <v>1251</v>
      </c>
      <c r="F59" s="252" t="s">
        <v>77</v>
      </c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>
        <f>2020</f>
        <v>2020</v>
      </c>
      <c r="T59" s="257">
        <f t="shared" ref="T59" si="68">R59+S59</f>
        <v>2020</v>
      </c>
      <c r="U59" s="257">
        <v>0</v>
      </c>
      <c r="V59" s="257">
        <v>0</v>
      </c>
      <c r="W59" s="257">
        <v>2200</v>
      </c>
      <c r="X59" s="257">
        <v>0</v>
      </c>
      <c r="Y59" s="257">
        <v>4500</v>
      </c>
      <c r="Z59" s="257">
        <f t="shared" ref="Z59" si="69">X59+Y59</f>
        <v>4500</v>
      </c>
    </row>
    <row r="60" spans="1:26" ht="32.25" customHeight="1" x14ac:dyDescent="0.2">
      <c r="A60" s="259" t="s">
        <v>76</v>
      </c>
      <c r="B60" s="252" t="s">
        <v>73</v>
      </c>
      <c r="C60" s="252" t="s">
        <v>233</v>
      </c>
      <c r="D60" s="252" t="s">
        <v>190</v>
      </c>
      <c r="E60" s="251" t="s">
        <v>1061</v>
      </c>
      <c r="F60" s="252" t="s">
        <v>77</v>
      </c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>
        <v>522.5</v>
      </c>
      <c r="T60" s="257">
        <f t="shared" si="67"/>
        <v>522.5</v>
      </c>
      <c r="U60" s="257">
        <v>0</v>
      </c>
      <c r="V60" s="257">
        <v>522.5</v>
      </c>
      <c r="W60" s="257">
        <v>0.5</v>
      </c>
      <c r="X60" s="257">
        <v>0</v>
      </c>
      <c r="Y60" s="257">
        <v>523</v>
      </c>
      <c r="Z60" s="257">
        <f t="shared" si="66"/>
        <v>523</v>
      </c>
    </row>
    <row r="61" spans="1:26" ht="20.25" customHeight="1" x14ac:dyDescent="0.2">
      <c r="A61" s="259" t="s">
        <v>998</v>
      </c>
      <c r="B61" s="252" t="s">
        <v>73</v>
      </c>
      <c r="C61" s="252" t="s">
        <v>233</v>
      </c>
      <c r="D61" s="252" t="s">
        <v>190</v>
      </c>
      <c r="E61" s="251" t="s">
        <v>746</v>
      </c>
      <c r="F61" s="252" t="s">
        <v>79</v>
      </c>
      <c r="G61" s="257"/>
      <c r="H61" s="257">
        <v>250</v>
      </c>
      <c r="I61" s="257">
        <v>0</v>
      </c>
      <c r="J61" s="257">
        <f t="shared" si="44"/>
        <v>250</v>
      </c>
      <c r="K61" s="257">
        <v>0</v>
      </c>
      <c r="L61" s="257">
        <v>200</v>
      </c>
      <c r="M61" s="257">
        <v>200</v>
      </c>
      <c r="N61" s="257">
        <v>0</v>
      </c>
      <c r="O61" s="257">
        <f>M61+N61</f>
        <v>200</v>
      </c>
      <c r="P61" s="257">
        <v>200</v>
      </c>
      <c r="Q61" s="257">
        <v>0</v>
      </c>
      <c r="R61" s="257">
        <f>P61+Q61</f>
        <v>200</v>
      </c>
      <c r="S61" s="257">
        <v>-100</v>
      </c>
      <c r="T61" s="257">
        <v>150</v>
      </c>
      <c r="U61" s="257">
        <v>0</v>
      </c>
      <c r="V61" s="257">
        <v>150</v>
      </c>
      <c r="W61" s="257">
        <v>0</v>
      </c>
      <c r="X61" s="257">
        <v>0</v>
      </c>
      <c r="Y61" s="257">
        <v>150</v>
      </c>
      <c r="Z61" s="257">
        <f>X61+Y61</f>
        <v>150</v>
      </c>
    </row>
    <row r="62" spans="1:26" ht="42" customHeight="1" x14ac:dyDescent="0.2">
      <c r="A62" s="259" t="s">
        <v>1175</v>
      </c>
      <c r="B62" s="252" t="s">
        <v>73</v>
      </c>
      <c r="C62" s="252" t="s">
        <v>233</v>
      </c>
      <c r="D62" s="252" t="s">
        <v>190</v>
      </c>
      <c r="E62" s="251" t="s">
        <v>1174</v>
      </c>
      <c r="F62" s="252"/>
      <c r="G62" s="257"/>
      <c r="H62" s="257">
        <v>3.8</v>
      </c>
      <c r="I62" s="257">
        <v>0</v>
      </c>
      <c r="J62" s="257">
        <v>3.8</v>
      </c>
      <c r="K62" s="257">
        <v>0</v>
      </c>
      <c r="L62" s="257">
        <v>0</v>
      </c>
      <c r="M62" s="257">
        <v>0</v>
      </c>
      <c r="N62" s="257">
        <v>0</v>
      </c>
      <c r="O62" s="257">
        <v>0</v>
      </c>
      <c r="P62" s="257">
        <v>0</v>
      </c>
      <c r="Q62" s="257">
        <v>0</v>
      </c>
      <c r="R62" s="257">
        <v>0</v>
      </c>
      <c r="S62" s="257">
        <v>0.4</v>
      </c>
      <c r="T62" s="257">
        <v>0.4</v>
      </c>
      <c r="U62" s="257">
        <v>0</v>
      </c>
      <c r="V62" s="257">
        <f t="shared" ref="V62:W62" si="70">V63+V64</f>
        <v>0</v>
      </c>
      <c r="W62" s="257">
        <f t="shared" si="70"/>
        <v>66.868000000000009</v>
      </c>
      <c r="X62" s="257">
        <f t="shared" ref="X62:Z62" si="71">X63+X64</f>
        <v>58.388000000000005</v>
      </c>
      <c r="Y62" s="257">
        <f t="shared" si="71"/>
        <v>-11.52</v>
      </c>
      <c r="Z62" s="257">
        <f t="shared" si="71"/>
        <v>46.868000000000009</v>
      </c>
    </row>
    <row r="63" spans="1:26" ht="19.5" customHeight="1" x14ac:dyDescent="0.2">
      <c r="A63" s="259" t="s">
        <v>78</v>
      </c>
      <c r="B63" s="252" t="s">
        <v>73</v>
      </c>
      <c r="C63" s="252" t="s">
        <v>233</v>
      </c>
      <c r="D63" s="252" t="s">
        <v>190</v>
      </c>
      <c r="E63" s="251" t="s">
        <v>1174</v>
      </c>
      <c r="F63" s="252" t="s">
        <v>79</v>
      </c>
      <c r="G63" s="257"/>
      <c r="H63" s="257">
        <v>3.8</v>
      </c>
      <c r="I63" s="257"/>
      <c r="J63" s="257">
        <v>3.8</v>
      </c>
      <c r="K63" s="257">
        <v>0</v>
      </c>
      <c r="L63" s="257">
        <v>0</v>
      </c>
      <c r="M63" s="257">
        <v>0</v>
      </c>
      <c r="N63" s="257">
        <v>0</v>
      </c>
      <c r="O63" s="257">
        <v>0</v>
      </c>
      <c r="P63" s="257">
        <v>0</v>
      </c>
      <c r="Q63" s="257">
        <v>0</v>
      </c>
      <c r="R63" s="257">
        <v>0</v>
      </c>
      <c r="S63" s="257">
        <v>0.4</v>
      </c>
      <c r="T63" s="257">
        <v>0.4</v>
      </c>
      <c r="U63" s="257">
        <v>-0.4</v>
      </c>
      <c r="V63" s="257">
        <f>T63+U63</f>
        <v>0</v>
      </c>
      <c r="W63" s="257">
        <v>66.2</v>
      </c>
      <c r="X63" s="257">
        <v>57.800000000000004</v>
      </c>
      <c r="Y63" s="257">
        <v>-11.4</v>
      </c>
      <c r="Z63" s="257">
        <f>X63+Y63</f>
        <v>46.400000000000006</v>
      </c>
    </row>
    <row r="64" spans="1:26" ht="19.5" customHeight="1" x14ac:dyDescent="0.2">
      <c r="A64" s="259" t="s">
        <v>1071</v>
      </c>
      <c r="B64" s="252" t="s">
        <v>73</v>
      </c>
      <c r="C64" s="252" t="s">
        <v>233</v>
      </c>
      <c r="D64" s="252" t="s">
        <v>190</v>
      </c>
      <c r="E64" s="251" t="s">
        <v>1174</v>
      </c>
      <c r="F64" s="252" t="s">
        <v>79</v>
      </c>
      <c r="G64" s="257"/>
      <c r="H64" s="257"/>
      <c r="I64" s="257"/>
      <c r="J64" s="257"/>
      <c r="K64" s="257"/>
      <c r="L64" s="257">
        <v>0</v>
      </c>
      <c r="M64" s="257">
        <v>0</v>
      </c>
      <c r="N64" s="257">
        <v>0</v>
      </c>
      <c r="O64" s="257">
        <v>0</v>
      </c>
      <c r="P64" s="257">
        <v>0</v>
      </c>
      <c r="Q64" s="257">
        <v>0</v>
      </c>
      <c r="R64" s="257">
        <v>0</v>
      </c>
      <c r="S64" s="257">
        <v>0</v>
      </c>
      <c r="T64" s="257">
        <v>0</v>
      </c>
      <c r="U64" s="257">
        <v>0</v>
      </c>
      <c r="V64" s="257">
        <f>T64+U64</f>
        <v>0</v>
      </c>
      <c r="W64" s="257">
        <v>0.66800000000000004</v>
      </c>
      <c r="X64" s="257">
        <v>0.58800000000000008</v>
      </c>
      <c r="Y64" s="257">
        <v>-0.12</v>
      </c>
      <c r="Z64" s="257">
        <f>X64+Y64</f>
        <v>0.46800000000000008</v>
      </c>
    </row>
    <row r="65" spans="1:26" ht="31.5" customHeight="1" x14ac:dyDescent="0.2">
      <c r="A65" s="462" t="s">
        <v>1158</v>
      </c>
      <c r="B65" s="250" t="s">
        <v>73</v>
      </c>
      <c r="C65" s="250" t="s">
        <v>233</v>
      </c>
      <c r="D65" s="250" t="s">
        <v>190</v>
      </c>
      <c r="E65" s="253" t="s">
        <v>748</v>
      </c>
      <c r="F65" s="250"/>
      <c r="G65" s="257">
        <f>G66+G69</f>
        <v>0</v>
      </c>
      <c r="H65" s="257">
        <f>H66+H69</f>
        <v>6182</v>
      </c>
      <c r="I65" s="257">
        <f>I66+I69</f>
        <v>606.62</v>
      </c>
      <c r="J65" s="257">
        <f t="shared" ref="J65:J67" si="72">H65+I65</f>
        <v>6788.62</v>
      </c>
      <c r="K65" s="257">
        <f>K66+K69+K70+K76</f>
        <v>1033.95</v>
      </c>
      <c r="L65" s="257">
        <f t="shared" ref="L65:Q65" si="73">L66+L69+L70+L76+L78</f>
        <v>9325</v>
      </c>
      <c r="M65" s="257">
        <f t="shared" si="73"/>
        <v>9325</v>
      </c>
      <c r="N65" s="257">
        <f t="shared" si="73"/>
        <v>630</v>
      </c>
      <c r="O65" s="257">
        <f t="shared" si="73"/>
        <v>9955</v>
      </c>
      <c r="P65" s="257">
        <f t="shared" si="73"/>
        <v>9955</v>
      </c>
      <c r="Q65" s="257">
        <f t="shared" si="73"/>
        <v>0</v>
      </c>
      <c r="R65" s="257">
        <f>R66+R67+R68+R69+R70</f>
        <v>22068</v>
      </c>
      <c r="S65" s="257">
        <f>S66+S67+S68+S69+S70</f>
        <v>10528.5</v>
      </c>
      <c r="T65" s="257">
        <f>T66+T67</f>
        <v>0</v>
      </c>
      <c r="U65" s="257">
        <f t="shared" ref="U65:Z65" si="74">U66+U67+U71</f>
        <v>2000</v>
      </c>
      <c r="V65" s="275">
        <f t="shared" si="74"/>
        <v>2000</v>
      </c>
      <c r="W65" s="275">
        <f t="shared" si="74"/>
        <v>73</v>
      </c>
      <c r="X65" s="275">
        <f t="shared" si="74"/>
        <v>2012</v>
      </c>
      <c r="Y65" s="275">
        <f t="shared" si="74"/>
        <v>671</v>
      </c>
      <c r="Z65" s="275">
        <f t="shared" si="74"/>
        <v>2683</v>
      </c>
    </row>
    <row r="66" spans="1:26" ht="31.5" customHeight="1" x14ac:dyDescent="0.2">
      <c r="A66" s="259" t="s">
        <v>76</v>
      </c>
      <c r="B66" s="252" t="s">
        <v>73</v>
      </c>
      <c r="C66" s="252" t="s">
        <v>233</v>
      </c>
      <c r="D66" s="252" t="s">
        <v>190</v>
      </c>
      <c r="E66" s="251" t="s">
        <v>748</v>
      </c>
      <c r="F66" s="252" t="s">
        <v>77</v>
      </c>
      <c r="G66" s="257"/>
      <c r="H66" s="257">
        <v>5466</v>
      </c>
      <c r="I66" s="257">
        <v>0</v>
      </c>
      <c r="J66" s="257">
        <f t="shared" si="72"/>
        <v>5466</v>
      </c>
      <c r="K66" s="257">
        <v>1033.95</v>
      </c>
      <c r="L66" s="257">
        <f>6420-500</f>
        <v>5920</v>
      </c>
      <c r="M66" s="257">
        <f>6420-500</f>
        <v>5920</v>
      </c>
      <c r="N66" s="257">
        <v>630</v>
      </c>
      <c r="O66" s="257">
        <f>M66+N66</f>
        <v>6550</v>
      </c>
      <c r="P66" s="257">
        <v>6550</v>
      </c>
      <c r="Q66" s="257">
        <v>0</v>
      </c>
      <c r="R66" s="257">
        <f>P66+Q66</f>
        <v>6550</v>
      </c>
      <c r="S66" s="257">
        <f>1742+374</f>
        <v>2116</v>
      </c>
      <c r="T66" s="257">
        <v>0</v>
      </c>
      <c r="U66" s="257">
        <v>1930</v>
      </c>
      <c r="V66" s="257">
        <v>1930</v>
      </c>
      <c r="W66" s="257">
        <v>73</v>
      </c>
      <c r="X66" s="257">
        <v>1942</v>
      </c>
      <c r="Y66" s="257">
        <v>471</v>
      </c>
      <c r="Z66" s="257">
        <f t="shared" ref="Z66:Z67" si="75">X66+Y66</f>
        <v>2413</v>
      </c>
    </row>
    <row r="67" spans="1:26" ht="31.5" customHeight="1" x14ac:dyDescent="0.2">
      <c r="A67" s="259" t="s">
        <v>76</v>
      </c>
      <c r="B67" s="252" t="s">
        <v>73</v>
      </c>
      <c r="C67" s="252" t="s">
        <v>233</v>
      </c>
      <c r="D67" s="252" t="s">
        <v>190</v>
      </c>
      <c r="E67" s="251" t="s">
        <v>744</v>
      </c>
      <c r="F67" s="252" t="s">
        <v>77</v>
      </c>
      <c r="G67" s="257"/>
      <c r="H67" s="257">
        <v>5466</v>
      </c>
      <c r="I67" s="257">
        <v>0</v>
      </c>
      <c r="J67" s="257">
        <f t="shared" si="72"/>
        <v>5466</v>
      </c>
      <c r="K67" s="257">
        <v>1033.95</v>
      </c>
      <c r="L67" s="257">
        <f>6420-500</f>
        <v>5920</v>
      </c>
      <c r="M67" s="257">
        <f>6420-500</f>
        <v>5920</v>
      </c>
      <c r="N67" s="257">
        <v>630</v>
      </c>
      <c r="O67" s="257">
        <f>M67+N67</f>
        <v>6550</v>
      </c>
      <c r="P67" s="257">
        <v>6550</v>
      </c>
      <c r="Q67" s="257">
        <v>0</v>
      </c>
      <c r="R67" s="257">
        <f>P67+Q67</f>
        <v>6550</v>
      </c>
      <c r="S67" s="257">
        <f>1742+374</f>
        <v>2116</v>
      </c>
      <c r="T67" s="257">
        <v>0</v>
      </c>
      <c r="U67" s="257">
        <v>70</v>
      </c>
      <c r="V67" s="257">
        <v>70</v>
      </c>
      <c r="W67" s="257">
        <v>0</v>
      </c>
      <c r="X67" s="257">
        <v>70</v>
      </c>
      <c r="Y67" s="257">
        <v>200</v>
      </c>
      <c r="Z67" s="257">
        <f t="shared" si="75"/>
        <v>270</v>
      </c>
    </row>
    <row r="68" spans="1:26" ht="15" customHeight="1" x14ac:dyDescent="0.2">
      <c r="A68" s="462" t="s">
        <v>235</v>
      </c>
      <c r="B68" s="250" t="s">
        <v>73</v>
      </c>
      <c r="C68" s="250" t="s">
        <v>233</v>
      </c>
      <c r="D68" s="250" t="s">
        <v>196</v>
      </c>
      <c r="E68" s="250"/>
      <c r="F68" s="250"/>
      <c r="G68" s="275" t="e">
        <f>#REF!+#REF!+#REF!+G93</f>
        <v>#REF!</v>
      </c>
      <c r="H68" s="275" t="e">
        <f>#REF!+H93</f>
        <v>#REF!</v>
      </c>
      <c r="I68" s="275" t="e">
        <f>#REF!+I93</f>
        <v>#REF!</v>
      </c>
      <c r="J68" s="275" t="e">
        <f>#REF!+J93</f>
        <v>#REF!</v>
      </c>
      <c r="K68" s="275" t="e">
        <f>#REF!+K93</f>
        <v>#REF!</v>
      </c>
      <c r="L68" s="275" t="e">
        <f>#REF!+L93</f>
        <v>#REF!</v>
      </c>
      <c r="M68" s="275" t="e">
        <f>#REF!+M93</f>
        <v>#REF!</v>
      </c>
      <c r="N68" s="275" t="e">
        <f>#REF!+N93</f>
        <v>#REF!</v>
      </c>
      <c r="O68" s="275" t="e">
        <f>#REF!+O93</f>
        <v>#REF!</v>
      </c>
      <c r="P68" s="275" t="e">
        <f>#REF!+P93</f>
        <v>#REF!</v>
      </c>
      <c r="Q68" s="275" t="e">
        <f>#REF!+Q93</f>
        <v>#REF!</v>
      </c>
      <c r="R68" s="275">
        <f>R69+R79</f>
        <v>6629</v>
      </c>
      <c r="S68" s="275">
        <f t="shared" ref="S68" si="76">S69+S79</f>
        <v>3330</v>
      </c>
      <c r="T68" s="275">
        <f>T69+T79</f>
        <v>11789</v>
      </c>
      <c r="U68" s="275">
        <f t="shared" ref="U68:V68" si="77">U69+U79</f>
        <v>-334</v>
      </c>
      <c r="V68" s="275">
        <f t="shared" si="77"/>
        <v>9949</v>
      </c>
      <c r="W68" s="275">
        <f t="shared" ref="W68:X68" si="78">W69+W79</f>
        <v>2396</v>
      </c>
      <c r="X68" s="275">
        <f t="shared" si="78"/>
        <v>13046</v>
      </c>
      <c r="Y68" s="275">
        <f t="shared" ref="Y68:Z68" si="79">Y69+Y79</f>
        <v>5</v>
      </c>
      <c r="Z68" s="275">
        <f t="shared" si="79"/>
        <v>13051</v>
      </c>
    </row>
    <row r="69" spans="1:26" ht="36" customHeight="1" x14ac:dyDescent="0.2">
      <c r="A69" s="420" t="s">
        <v>1163</v>
      </c>
      <c r="B69" s="250" t="s">
        <v>73</v>
      </c>
      <c r="C69" s="250" t="s">
        <v>233</v>
      </c>
      <c r="D69" s="250" t="s">
        <v>196</v>
      </c>
      <c r="E69" s="253" t="s">
        <v>1019</v>
      </c>
      <c r="F69" s="250"/>
      <c r="G69" s="275"/>
      <c r="H69" s="275">
        <f t="shared" ref="H69:Q69" si="80">H70+H72</f>
        <v>716</v>
      </c>
      <c r="I69" s="275">
        <f t="shared" si="80"/>
        <v>606.62</v>
      </c>
      <c r="J69" s="275">
        <f t="shared" si="80"/>
        <v>1322.6200000000001</v>
      </c>
      <c r="K69" s="275">
        <f t="shared" si="80"/>
        <v>0</v>
      </c>
      <c r="L69" s="275">
        <f t="shared" si="80"/>
        <v>1323</v>
      </c>
      <c r="M69" s="275">
        <f t="shared" si="80"/>
        <v>1323</v>
      </c>
      <c r="N69" s="275">
        <f t="shared" si="80"/>
        <v>0</v>
      </c>
      <c r="O69" s="275">
        <f t="shared" si="80"/>
        <v>1323</v>
      </c>
      <c r="P69" s="275">
        <f t="shared" si="80"/>
        <v>1323</v>
      </c>
      <c r="Q69" s="275">
        <f t="shared" si="80"/>
        <v>0</v>
      </c>
      <c r="R69" s="275">
        <f>R70+R72+R71+R76+R77</f>
        <v>1323</v>
      </c>
      <c r="S69" s="275">
        <f t="shared" ref="S69" si="81">S70+S72+S71+S76+S77</f>
        <v>2596.5</v>
      </c>
      <c r="T69" s="275">
        <f>T70+T72+T71+T76+T77+T74+T75+T78</f>
        <v>10792</v>
      </c>
      <c r="U69" s="275">
        <f t="shared" ref="U69:V69" si="82">U70+U72+U71+U76+U77+U74+U75+U78</f>
        <v>-6676</v>
      </c>
      <c r="V69" s="275">
        <f t="shared" si="82"/>
        <v>9452</v>
      </c>
      <c r="W69" s="275">
        <f t="shared" ref="W69:X69" si="83">W70+W72+W71+W76+W77+W74+W75+W78</f>
        <v>-5188</v>
      </c>
      <c r="X69" s="275">
        <f t="shared" si="83"/>
        <v>4194</v>
      </c>
      <c r="Y69" s="275">
        <f t="shared" ref="Y69:Z69" si="84">Y70+Y72+Y71+Y76+Y77+Y74+Y75+Y78</f>
        <v>-15</v>
      </c>
      <c r="Z69" s="275">
        <f t="shared" si="84"/>
        <v>4179</v>
      </c>
    </row>
    <row r="70" spans="1:26" ht="19.5" customHeight="1" x14ac:dyDescent="0.2">
      <c r="A70" s="259" t="s">
        <v>95</v>
      </c>
      <c r="B70" s="252" t="s">
        <v>73</v>
      </c>
      <c r="C70" s="252" t="s">
        <v>233</v>
      </c>
      <c r="D70" s="252" t="s">
        <v>196</v>
      </c>
      <c r="E70" s="251" t="s">
        <v>1019</v>
      </c>
      <c r="F70" s="252" t="s">
        <v>96</v>
      </c>
      <c r="G70" s="257"/>
      <c r="H70" s="257">
        <v>716</v>
      </c>
      <c r="I70" s="257">
        <f>299.92</f>
        <v>299.92</v>
      </c>
      <c r="J70" s="257">
        <f>H70+I70</f>
        <v>1015.9200000000001</v>
      </c>
      <c r="K70" s="257">
        <v>0</v>
      </c>
      <c r="L70" s="257">
        <v>1016</v>
      </c>
      <c r="M70" s="257">
        <v>1016</v>
      </c>
      <c r="N70" s="257">
        <v>0</v>
      </c>
      <c r="O70" s="257">
        <f>M70+N70</f>
        <v>1016</v>
      </c>
      <c r="P70" s="257">
        <v>1016</v>
      </c>
      <c r="Q70" s="257">
        <v>0</v>
      </c>
      <c r="R70" s="257">
        <f>P70+Q70</f>
        <v>1016</v>
      </c>
      <c r="S70" s="257">
        <v>370</v>
      </c>
      <c r="T70" s="257">
        <f t="shared" ref="T70" si="85">R70+S70</f>
        <v>1386</v>
      </c>
      <c r="U70" s="257">
        <v>80</v>
      </c>
      <c r="V70" s="257">
        <v>1386</v>
      </c>
      <c r="W70" s="257">
        <v>155</v>
      </c>
      <c r="X70" s="257">
        <v>1466</v>
      </c>
      <c r="Y70" s="257">
        <v>0</v>
      </c>
      <c r="Z70" s="257">
        <f t="shared" ref="Z70:Z72" si="86">X70+Y70</f>
        <v>1466</v>
      </c>
    </row>
    <row r="71" spans="1:26" ht="19.5" hidden="1" customHeight="1" x14ac:dyDescent="0.2">
      <c r="A71" s="259" t="s">
        <v>97</v>
      </c>
      <c r="B71" s="252" t="s">
        <v>73</v>
      </c>
      <c r="C71" s="252" t="s">
        <v>233</v>
      </c>
      <c r="D71" s="252" t="s">
        <v>196</v>
      </c>
      <c r="E71" s="251" t="s">
        <v>1019</v>
      </c>
      <c r="F71" s="252" t="s">
        <v>98</v>
      </c>
      <c r="G71" s="257"/>
      <c r="H71" s="257">
        <v>115</v>
      </c>
      <c r="I71" s="257">
        <v>-65</v>
      </c>
      <c r="J71" s="257">
        <f t="shared" ref="J71" si="87">H71+I71</f>
        <v>50</v>
      </c>
      <c r="K71" s="257">
        <v>-44.4</v>
      </c>
      <c r="L71" s="257">
        <v>50</v>
      </c>
      <c r="M71" s="257">
        <v>50</v>
      </c>
      <c r="N71" s="257">
        <v>0</v>
      </c>
      <c r="O71" s="257">
        <f t="shared" ref="O71" si="88">M71+N71</f>
        <v>50</v>
      </c>
      <c r="P71" s="257">
        <v>50</v>
      </c>
      <c r="Q71" s="257">
        <v>0</v>
      </c>
      <c r="R71" s="257">
        <v>0</v>
      </c>
      <c r="S71" s="257">
        <v>30</v>
      </c>
      <c r="T71" s="257">
        <v>0</v>
      </c>
      <c r="U71" s="257">
        <v>0</v>
      </c>
      <c r="V71" s="257">
        <f t="shared" ref="V71:V75" si="89">T71+U71</f>
        <v>0</v>
      </c>
      <c r="W71" s="257">
        <v>0</v>
      </c>
      <c r="X71" s="257">
        <v>0</v>
      </c>
      <c r="Y71" s="257">
        <v>0</v>
      </c>
      <c r="Z71" s="257">
        <f t="shared" si="86"/>
        <v>0</v>
      </c>
    </row>
    <row r="72" spans="1:26" ht="38.25" customHeight="1" x14ac:dyDescent="0.2">
      <c r="A72" s="273" t="s">
        <v>898</v>
      </c>
      <c r="B72" s="252" t="s">
        <v>73</v>
      </c>
      <c r="C72" s="252" t="s">
        <v>233</v>
      </c>
      <c r="D72" s="252" t="s">
        <v>196</v>
      </c>
      <c r="E72" s="251" t="s">
        <v>1019</v>
      </c>
      <c r="F72" s="252" t="s">
        <v>896</v>
      </c>
      <c r="G72" s="257"/>
      <c r="H72" s="257">
        <v>0</v>
      </c>
      <c r="I72" s="257">
        <f>166+140.7</f>
        <v>306.7</v>
      </c>
      <c r="J72" s="257">
        <f>H72+I72</f>
        <v>306.7</v>
      </c>
      <c r="K72" s="257">
        <v>0</v>
      </c>
      <c r="L72" s="257">
        <v>307</v>
      </c>
      <c r="M72" s="257">
        <v>307</v>
      </c>
      <c r="N72" s="257">
        <v>0</v>
      </c>
      <c r="O72" s="257">
        <f>M72+N72</f>
        <v>307</v>
      </c>
      <c r="P72" s="257">
        <v>307</v>
      </c>
      <c r="Q72" s="257">
        <v>0</v>
      </c>
      <c r="R72" s="257">
        <f>P72+Q72</f>
        <v>307</v>
      </c>
      <c r="S72" s="257">
        <v>112</v>
      </c>
      <c r="T72" s="257">
        <f t="shared" ref="T72" si="90">R72+S72</f>
        <v>419</v>
      </c>
      <c r="U72" s="257">
        <v>24</v>
      </c>
      <c r="V72" s="257">
        <v>419</v>
      </c>
      <c r="W72" s="257">
        <v>47</v>
      </c>
      <c r="X72" s="257">
        <v>443</v>
      </c>
      <c r="Y72" s="257">
        <v>0</v>
      </c>
      <c r="Z72" s="257">
        <f t="shared" si="86"/>
        <v>443</v>
      </c>
    </row>
    <row r="73" spans="1:26" ht="38.25" hidden="1" customHeight="1" x14ac:dyDescent="0.2">
      <c r="A73" s="273"/>
      <c r="B73" s="252"/>
      <c r="C73" s="252"/>
      <c r="D73" s="252"/>
      <c r="E73" s="251"/>
      <c r="F73" s="252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</row>
    <row r="74" spans="1:26" ht="17.25" hidden="1" customHeight="1" x14ac:dyDescent="0.2">
      <c r="A74" s="259" t="s">
        <v>95</v>
      </c>
      <c r="B74" s="252" t="s">
        <v>73</v>
      </c>
      <c r="C74" s="252" t="s">
        <v>233</v>
      </c>
      <c r="D74" s="252" t="s">
        <v>196</v>
      </c>
      <c r="E74" s="251" t="s">
        <v>1134</v>
      </c>
      <c r="F74" s="252" t="s">
        <v>96</v>
      </c>
      <c r="G74" s="257"/>
      <c r="H74" s="257">
        <v>0</v>
      </c>
      <c r="I74" s="257">
        <f>3475.42-465.92</f>
        <v>3009.5</v>
      </c>
      <c r="J74" s="257">
        <f>H74+I74</f>
        <v>3009.5</v>
      </c>
      <c r="K74" s="257">
        <v>75.38</v>
      </c>
      <c r="L74" s="257">
        <v>3606</v>
      </c>
      <c r="M74" s="257">
        <v>3606</v>
      </c>
      <c r="N74" s="257">
        <v>0</v>
      </c>
      <c r="O74" s="257">
        <f>M74+N74</f>
        <v>3606</v>
      </c>
      <c r="P74" s="257">
        <v>3606</v>
      </c>
      <c r="Q74" s="257">
        <v>0</v>
      </c>
      <c r="R74" s="257">
        <v>0</v>
      </c>
      <c r="S74" s="257">
        <v>0</v>
      </c>
      <c r="T74" s="257">
        <v>1200</v>
      </c>
      <c r="U74" s="257">
        <v>-1200</v>
      </c>
      <c r="V74" s="257">
        <f t="shared" si="89"/>
        <v>0</v>
      </c>
      <c r="W74" s="257">
        <v>0</v>
      </c>
      <c r="X74" s="257">
        <v>0</v>
      </c>
      <c r="Y74" s="257">
        <v>0</v>
      </c>
      <c r="Z74" s="257">
        <f t="shared" ref="Z74:Z78" si="91">X74+Y74</f>
        <v>0</v>
      </c>
    </row>
    <row r="75" spans="1:26" ht="31.5" hidden="1" customHeight="1" x14ac:dyDescent="0.2">
      <c r="A75" s="273" t="s">
        <v>898</v>
      </c>
      <c r="B75" s="252" t="s">
        <v>73</v>
      </c>
      <c r="C75" s="252" t="s">
        <v>233</v>
      </c>
      <c r="D75" s="252" t="s">
        <v>196</v>
      </c>
      <c r="E75" s="251" t="s">
        <v>1134</v>
      </c>
      <c r="F75" s="252" t="s">
        <v>896</v>
      </c>
      <c r="G75" s="257"/>
      <c r="H75" s="257">
        <v>0</v>
      </c>
      <c r="I75" s="257">
        <f>1049.58-140.7</f>
        <v>908.87999999999988</v>
      </c>
      <c r="J75" s="257">
        <f>H75+I75</f>
        <v>908.87999999999988</v>
      </c>
      <c r="K75" s="257">
        <v>22.754000000000001</v>
      </c>
      <c r="L75" s="257">
        <v>1090</v>
      </c>
      <c r="M75" s="257">
        <v>1090</v>
      </c>
      <c r="N75" s="257">
        <v>0</v>
      </c>
      <c r="O75" s="257">
        <f t="shared" ref="O75" si="92">M75+N75</f>
        <v>1090</v>
      </c>
      <c r="P75" s="257">
        <v>1090</v>
      </c>
      <c r="Q75" s="257">
        <v>0</v>
      </c>
      <c r="R75" s="257">
        <v>0</v>
      </c>
      <c r="S75" s="257">
        <v>0</v>
      </c>
      <c r="T75" s="257">
        <v>140</v>
      </c>
      <c r="U75" s="257">
        <v>-140</v>
      </c>
      <c r="V75" s="257">
        <f t="shared" si="89"/>
        <v>0</v>
      </c>
      <c r="W75" s="257">
        <v>0</v>
      </c>
      <c r="X75" s="257">
        <v>0</v>
      </c>
      <c r="Y75" s="257">
        <v>0</v>
      </c>
      <c r="Z75" s="257">
        <f t="shared" si="91"/>
        <v>0</v>
      </c>
    </row>
    <row r="76" spans="1:26" ht="18.75" customHeight="1" x14ac:dyDescent="0.2">
      <c r="A76" s="259" t="s">
        <v>95</v>
      </c>
      <c r="B76" s="252" t="s">
        <v>73</v>
      </c>
      <c r="C76" s="252" t="s">
        <v>233</v>
      </c>
      <c r="D76" s="252" t="s">
        <v>196</v>
      </c>
      <c r="E76" s="251" t="s">
        <v>845</v>
      </c>
      <c r="F76" s="252" t="s">
        <v>96</v>
      </c>
      <c r="G76" s="257"/>
      <c r="H76" s="257">
        <v>716</v>
      </c>
      <c r="I76" s="257">
        <f>299.92</f>
        <v>299.92</v>
      </c>
      <c r="J76" s="257">
        <f>H76+I76</f>
        <v>1015.9200000000001</v>
      </c>
      <c r="K76" s="257">
        <v>0</v>
      </c>
      <c r="L76" s="257">
        <v>1016</v>
      </c>
      <c r="M76" s="257">
        <v>1016</v>
      </c>
      <c r="N76" s="257">
        <v>0</v>
      </c>
      <c r="O76" s="257">
        <f>M76+N76</f>
        <v>1016</v>
      </c>
      <c r="P76" s="257">
        <v>1016</v>
      </c>
      <c r="Q76" s="257">
        <v>0</v>
      </c>
      <c r="R76" s="257">
        <v>0</v>
      </c>
      <c r="S76" s="257">
        <v>1601</v>
      </c>
      <c r="T76" s="257">
        <v>4742</v>
      </c>
      <c r="U76" s="257">
        <v>-3070</v>
      </c>
      <c r="V76" s="257">
        <v>4742</v>
      </c>
      <c r="W76" s="257">
        <v>-3032</v>
      </c>
      <c r="X76" s="257">
        <v>1732</v>
      </c>
      <c r="Y76" s="257">
        <v>0</v>
      </c>
      <c r="Z76" s="257">
        <f t="shared" si="91"/>
        <v>1732</v>
      </c>
    </row>
    <row r="77" spans="1:26" ht="30.75" customHeight="1" x14ac:dyDescent="0.2">
      <c r="A77" s="273" t="s">
        <v>898</v>
      </c>
      <c r="B77" s="252" t="s">
        <v>73</v>
      </c>
      <c r="C77" s="252" t="s">
        <v>233</v>
      </c>
      <c r="D77" s="252" t="s">
        <v>196</v>
      </c>
      <c r="E77" s="251" t="s">
        <v>845</v>
      </c>
      <c r="F77" s="252" t="s">
        <v>896</v>
      </c>
      <c r="G77" s="257"/>
      <c r="H77" s="257">
        <v>0</v>
      </c>
      <c r="I77" s="257">
        <f>166+140.7</f>
        <v>306.7</v>
      </c>
      <c r="J77" s="257">
        <f>H77+I77</f>
        <v>306.7</v>
      </c>
      <c r="K77" s="257">
        <v>0</v>
      </c>
      <c r="L77" s="257">
        <v>307</v>
      </c>
      <c r="M77" s="257">
        <v>307</v>
      </c>
      <c r="N77" s="257">
        <v>0</v>
      </c>
      <c r="O77" s="257">
        <f>M77+N77</f>
        <v>307</v>
      </c>
      <c r="P77" s="257">
        <v>307</v>
      </c>
      <c r="Q77" s="257">
        <v>0</v>
      </c>
      <c r="R77" s="257">
        <v>0</v>
      </c>
      <c r="S77" s="257">
        <v>483.5</v>
      </c>
      <c r="T77" s="257">
        <v>1655</v>
      </c>
      <c r="U77" s="257">
        <v>-1150</v>
      </c>
      <c r="V77" s="257">
        <v>1655</v>
      </c>
      <c r="W77" s="257">
        <v>-1138</v>
      </c>
      <c r="X77" s="257">
        <v>523</v>
      </c>
      <c r="Y77" s="257">
        <v>0</v>
      </c>
      <c r="Z77" s="257">
        <f t="shared" si="91"/>
        <v>523</v>
      </c>
    </row>
    <row r="78" spans="1:26" ht="19.5" customHeight="1" x14ac:dyDescent="0.2">
      <c r="A78" s="259" t="s">
        <v>97</v>
      </c>
      <c r="B78" s="252" t="s">
        <v>73</v>
      </c>
      <c r="C78" s="252" t="s">
        <v>233</v>
      </c>
      <c r="D78" s="252" t="s">
        <v>196</v>
      </c>
      <c r="E78" s="251" t="s">
        <v>845</v>
      </c>
      <c r="F78" s="252" t="s">
        <v>98</v>
      </c>
      <c r="G78" s="257"/>
      <c r="H78" s="257">
        <v>115</v>
      </c>
      <c r="I78" s="257">
        <v>-65</v>
      </c>
      <c r="J78" s="257">
        <f t="shared" ref="J78" si="93">H78+I78</f>
        <v>50</v>
      </c>
      <c r="K78" s="257">
        <v>-44.4</v>
      </c>
      <c r="L78" s="257">
        <v>50</v>
      </c>
      <c r="M78" s="257">
        <v>50</v>
      </c>
      <c r="N78" s="257">
        <v>0</v>
      </c>
      <c r="O78" s="257">
        <f t="shared" ref="O78" si="94">M78+N78</f>
        <v>50</v>
      </c>
      <c r="P78" s="257">
        <v>50</v>
      </c>
      <c r="Q78" s="257">
        <v>0</v>
      </c>
      <c r="R78" s="257">
        <v>1250</v>
      </c>
      <c r="S78" s="257">
        <v>0</v>
      </c>
      <c r="T78" s="257">
        <f t="shared" ref="T78" si="95">R78+S78</f>
        <v>1250</v>
      </c>
      <c r="U78" s="257">
        <v>-1220</v>
      </c>
      <c r="V78" s="257">
        <v>1250</v>
      </c>
      <c r="W78" s="257">
        <v>-1220</v>
      </c>
      <c r="X78" s="257">
        <v>30</v>
      </c>
      <c r="Y78" s="257">
        <v>-15</v>
      </c>
      <c r="Z78" s="257">
        <f t="shared" si="91"/>
        <v>15</v>
      </c>
    </row>
    <row r="79" spans="1:26" s="430" customFormat="1" ht="27.75" customHeight="1" x14ac:dyDescent="0.2">
      <c r="A79" s="462" t="s">
        <v>1137</v>
      </c>
      <c r="B79" s="250" t="s">
        <v>73</v>
      </c>
      <c r="C79" s="250" t="s">
        <v>233</v>
      </c>
      <c r="D79" s="250" t="s">
        <v>196</v>
      </c>
      <c r="E79" s="253" t="s">
        <v>845</v>
      </c>
      <c r="F79" s="250"/>
      <c r="G79" s="275"/>
      <c r="H79" s="275">
        <f>H80+H81+H82+H87+H88+H89+H90+H91</f>
        <v>5125</v>
      </c>
      <c r="I79" s="275">
        <f>I80+I81+I82+I87+I88+I89+I90+I91</f>
        <v>-606.62000000000012</v>
      </c>
      <c r="J79" s="275">
        <f>J80+J81+J82+J87+J88+J89+J90+J91</f>
        <v>4518.38</v>
      </c>
      <c r="K79" s="275">
        <f>K80+K81+K82+K87+K88+K89+K90+K91+K92</f>
        <v>98.134</v>
      </c>
      <c r="L79" s="275">
        <f>L81+L82+L87+L88+L89+L90+L91</f>
        <v>5306</v>
      </c>
      <c r="M79" s="275">
        <f>M80+M81+M82+M87+M88+M89+M90+M91+M92</f>
        <v>5306</v>
      </c>
      <c r="N79" s="275">
        <f>N80+N81+N82+N87+N88+N89+N90+N91+N92</f>
        <v>0</v>
      </c>
      <c r="O79" s="275">
        <f>O80+O81+O82+O87+O88+O89+O90+O91+O92</f>
        <v>5306</v>
      </c>
      <c r="P79" s="275">
        <f>P80+P81+P82+P87+P88+P89+P90+P91+P92</f>
        <v>5306</v>
      </c>
      <c r="Q79" s="275">
        <f>Q80+Q81+Q82+Q87+Q88+Q89+Q90+Q91+Q92</f>
        <v>0</v>
      </c>
      <c r="R79" s="275">
        <f>R80+R81+R82+R87+R88+R89+R90+R91+R92+R83+R84</f>
        <v>5306</v>
      </c>
      <c r="S79" s="275">
        <f>S80+S81+S82+S87+S88+S89+S90+S91+S92+S83+S84</f>
        <v>733.5</v>
      </c>
      <c r="T79" s="275">
        <f t="shared" ref="T79:W79" si="96">T80+T81+T82+T87+T88+T89+T90+T91+T92+T83+T84+T93</f>
        <v>997</v>
      </c>
      <c r="U79" s="275">
        <f t="shared" si="96"/>
        <v>6342</v>
      </c>
      <c r="V79" s="275">
        <f t="shared" si="96"/>
        <v>497</v>
      </c>
      <c r="W79" s="275">
        <f t="shared" si="96"/>
        <v>7584</v>
      </c>
      <c r="X79" s="275">
        <f>X80+X81+X82+X87+X88+X89+X90+X91+X92+X83+X84+X93+X85+X86</f>
        <v>8852</v>
      </c>
      <c r="Y79" s="275">
        <f t="shared" ref="Y79:Z79" si="97">Y80+Y81+Y82+Y87+Y88+Y89+Y90+Y91+Y92+Y83+Y84+Y93+Y85+Y86</f>
        <v>20</v>
      </c>
      <c r="Z79" s="275">
        <f t="shared" si="97"/>
        <v>8872</v>
      </c>
    </row>
    <row r="80" spans="1:26" ht="18.75" hidden="1" customHeight="1" x14ac:dyDescent="0.2">
      <c r="A80" s="259" t="s">
        <v>95</v>
      </c>
      <c r="B80" s="252" t="s">
        <v>73</v>
      </c>
      <c r="C80" s="252" t="s">
        <v>233</v>
      </c>
      <c r="D80" s="252" t="s">
        <v>196</v>
      </c>
      <c r="E80" s="251" t="s">
        <v>845</v>
      </c>
      <c r="F80" s="252" t="s">
        <v>96</v>
      </c>
      <c r="G80" s="257"/>
      <c r="H80" s="257">
        <v>4525</v>
      </c>
      <c r="I80" s="257">
        <v>-4525</v>
      </c>
      <c r="J80" s="257">
        <f t="shared" ref="J80:J91" si="98">H80+I80</f>
        <v>0</v>
      </c>
      <c r="K80" s="257">
        <v>0</v>
      </c>
      <c r="L80" s="257">
        <f>I80+J80</f>
        <v>-4525</v>
      </c>
      <c r="M80" s="257">
        <f>J80+K80</f>
        <v>0</v>
      </c>
      <c r="N80" s="257">
        <v>0</v>
      </c>
      <c r="O80" s="257">
        <f>M80+N80</f>
        <v>0</v>
      </c>
      <c r="P80" s="257">
        <f t="shared" ref="P80" si="99">M80+N80</f>
        <v>0</v>
      </c>
      <c r="Q80" s="257">
        <v>0</v>
      </c>
      <c r="R80" s="257">
        <f>P80+Q80</f>
        <v>0</v>
      </c>
      <c r="S80" s="257">
        <f t="shared" ref="S80:T80" si="100">Q80+R80</f>
        <v>0</v>
      </c>
      <c r="T80" s="257">
        <f t="shared" si="100"/>
        <v>0</v>
      </c>
      <c r="U80" s="257">
        <f t="shared" ref="U80" si="101">S80+T80</f>
        <v>0</v>
      </c>
      <c r="V80" s="257">
        <f t="shared" ref="V80:V92" si="102">T80+U80</f>
        <v>0</v>
      </c>
      <c r="W80" s="257">
        <f t="shared" ref="W80" si="103">U80+V80</f>
        <v>0</v>
      </c>
      <c r="X80" s="257">
        <f t="shared" ref="X80:X92" si="104">V80+W80</f>
        <v>0</v>
      </c>
      <c r="Y80" s="257">
        <f t="shared" ref="Y80" si="105">W80+X80</f>
        <v>0</v>
      </c>
      <c r="Z80" s="257">
        <f t="shared" ref="Z80:Z92" si="106">X80+Y80</f>
        <v>0</v>
      </c>
    </row>
    <row r="81" spans="1:26" ht="18.75" customHeight="1" x14ac:dyDescent="0.2">
      <c r="A81" s="375" t="s">
        <v>897</v>
      </c>
      <c r="B81" s="252" t="s">
        <v>73</v>
      </c>
      <c r="C81" s="252" t="s">
        <v>233</v>
      </c>
      <c r="D81" s="252" t="s">
        <v>196</v>
      </c>
      <c r="E81" s="251" t="s">
        <v>845</v>
      </c>
      <c r="F81" s="252" t="s">
        <v>832</v>
      </c>
      <c r="G81" s="257"/>
      <c r="H81" s="257">
        <v>0</v>
      </c>
      <c r="I81" s="257">
        <f>3475.42-465.92</f>
        <v>3009.5</v>
      </c>
      <c r="J81" s="257">
        <f t="shared" ref="J81:J86" si="107">H81+I81</f>
        <v>3009.5</v>
      </c>
      <c r="K81" s="257">
        <v>75.38</v>
      </c>
      <c r="L81" s="257">
        <v>3606</v>
      </c>
      <c r="M81" s="257">
        <v>3606</v>
      </c>
      <c r="N81" s="257">
        <v>0</v>
      </c>
      <c r="O81" s="257">
        <f>M81+N81</f>
        <v>3606</v>
      </c>
      <c r="P81" s="257">
        <v>3606</v>
      </c>
      <c r="Q81" s="257">
        <v>0</v>
      </c>
      <c r="R81" s="257">
        <f t="shared" ref="R81:R91" si="108">P81+Q81</f>
        <v>3606</v>
      </c>
      <c r="S81" s="257">
        <f>2336-1200-1601+1</f>
        <v>-464</v>
      </c>
      <c r="T81" s="257">
        <v>0</v>
      </c>
      <c r="U81" s="257">
        <v>4026</v>
      </c>
      <c r="V81" s="257">
        <v>0</v>
      </c>
      <c r="W81" s="257">
        <v>4638</v>
      </c>
      <c r="X81" s="257">
        <v>5196</v>
      </c>
      <c r="Y81" s="257">
        <v>0</v>
      </c>
      <c r="Z81" s="257">
        <f t="shared" si="106"/>
        <v>5196</v>
      </c>
    </row>
    <row r="82" spans="1:26" ht="37.5" customHeight="1" x14ac:dyDescent="0.2">
      <c r="A82" s="273" t="s">
        <v>900</v>
      </c>
      <c r="B82" s="252" t="s">
        <v>73</v>
      </c>
      <c r="C82" s="252" t="s">
        <v>233</v>
      </c>
      <c r="D82" s="252" t="s">
        <v>196</v>
      </c>
      <c r="E82" s="251" t="s">
        <v>845</v>
      </c>
      <c r="F82" s="252" t="s">
        <v>899</v>
      </c>
      <c r="G82" s="257"/>
      <c r="H82" s="257">
        <v>0</v>
      </c>
      <c r="I82" s="257">
        <f>1049.58-140.7</f>
        <v>908.87999999999988</v>
      </c>
      <c r="J82" s="257">
        <f t="shared" si="107"/>
        <v>908.87999999999988</v>
      </c>
      <c r="K82" s="257">
        <v>22.754000000000001</v>
      </c>
      <c r="L82" s="257">
        <v>1090</v>
      </c>
      <c r="M82" s="257">
        <v>1090</v>
      </c>
      <c r="N82" s="257">
        <v>0</v>
      </c>
      <c r="O82" s="257">
        <f t="shared" ref="O82:O91" si="109">M82+N82</f>
        <v>1090</v>
      </c>
      <c r="P82" s="257">
        <v>1090</v>
      </c>
      <c r="Q82" s="257">
        <v>0</v>
      </c>
      <c r="R82" s="257">
        <f t="shared" si="108"/>
        <v>1090</v>
      </c>
      <c r="S82" s="257">
        <f>705-140-483.5</f>
        <v>81.5</v>
      </c>
      <c r="T82" s="257">
        <v>0</v>
      </c>
      <c r="U82" s="257">
        <v>1198</v>
      </c>
      <c r="V82" s="257">
        <v>0</v>
      </c>
      <c r="W82" s="257">
        <v>1403</v>
      </c>
      <c r="X82" s="257">
        <v>1569</v>
      </c>
      <c r="Y82" s="257">
        <v>0</v>
      </c>
      <c r="Z82" s="257">
        <f t="shared" si="106"/>
        <v>1569</v>
      </c>
    </row>
    <row r="83" spans="1:26" ht="16.5" customHeight="1" x14ac:dyDescent="0.2">
      <c r="A83" s="375" t="s">
        <v>897</v>
      </c>
      <c r="B83" s="252" t="s">
        <v>73</v>
      </c>
      <c r="C83" s="252" t="s">
        <v>233</v>
      </c>
      <c r="D83" s="252" t="s">
        <v>196</v>
      </c>
      <c r="E83" s="251" t="s">
        <v>1134</v>
      </c>
      <c r="F83" s="252" t="s">
        <v>832</v>
      </c>
      <c r="G83" s="257"/>
      <c r="H83" s="257">
        <v>0</v>
      </c>
      <c r="I83" s="257">
        <f>3475.42-465.92</f>
        <v>3009.5</v>
      </c>
      <c r="J83" s="257">
        <f t="shared" si="107"/>
        <v>3009.5</v>
      </c>
      <c r="K83" s="257">
        <v>75.38</v>
      </c>
      <c r="L83" s="257">
        <v>3606</v>
      </c>
      <c r="M83" s="257">
        <v>3606</v>
      </c>
      <c r="N83" s="257">
        <v>0</v>
      </c>
      <c r="O83" s="257">
        <f>M83+N83</f>
        <v>3606</v>
      </c>
      <c r="P83" s="257">
        <v>3606</v>
      </c>
      <c r="Q83" s="257">
        <v>0</v>
      </c>
      <c r="R83" s="257">
        <v>0</v>
      </c>
      <c r="S83" s="257">
        <f>1200</f>
        <v>1200</v>
      </c>
      <c r="T83" s="257">
        <v>0</v>
      </c>
      <c r="U83" s="257">
        <v>1200</v>
      </c>
      <c r="V83" s="257">
        <v>0</v>
      </c>
      <c r="W83" s="257">
        <v>1200</v>
      </c>
      <c r="X83" s="257">
        <v>1200</v>
      </c>
      <c r="Y83" s="257">
        <v>-1200</v>
      </c>
      <c r="Z83" s="257">
        <f t="shared" si="106"/>
        <v>0</v>
      </c>
    </row>
    <row r="84" spans="1:26" ht="37.5" customHeight="1" x14ac:dyDescent="0.2">
      <c r="A84" s="273" t="s">
        <v>900</v>
      </c>
      <c r="B84" s="252" t="s">
        <v>73</v>
      </c>
      <c r="C84" s="252" t="s">
        <v>233</v>
      </c>
      <c r="D84" s="252" t="s">
        <v>196</v>
      </c>
      <c r="E84" s="251" t="s">
        <v>1134</v>
      </c>
      <c r="F84" s="252" t="s">
        <v>899</v>
      </c>
      <c r="G84" s="257"/>
      <c r="H84" s="257">
        <v>0</v>
      </c>
      <c r="I84" s="257">
        <f>1049.58-140.7</f>
        <v>908.87999999999988</v>
      </c>
      <c r="J84" s="257">
        <f t="shared" si="107"/>
        <v>908.87999999999988</v>
      </c>
      <c r="K84" s="257">
        <v>22.754000000000001</v>
      </c>
      <c r="L84" s="257">
        <v>1090</v>
      </c>
      <c r="M84" s="257">
        <v>1090</v>
      </c>
      <c r="N84" s="257">
        <v>0</v>
      </c>
      <c r="O84" s="257">
        <f t="shared" ref="O84" si="110">M84+N84</f>
        <v>1090</v>
      </c>
      <c r="P84" s="257">
        <v>1090</v>
      </c>
      <c r="Q84" s="257">
        <v>0</v>
      </c>
      <c r="R84" s="257">
        <v>0</v>
      </c>
      <c r="S84" s="257">
        <f>140</f>
        <v>140</v>
      </c>
      <c r="T84" s="257">
        <v>0</v>
      </c>
      <c r="U84" s="257">
        <v>360</v>
      </c>
      <c r="V84" s="257">
        <v>0</v>
      </c>
      <c r="W84" s="257">
        <v>360</v>
      </c>
      <c r="X84" s="257">
        <v>360</v>
      </c>
      <c r="Y84" s="257">
        <v>-360</v>
      </c>
      <c r="Z84" s="257">
        <f t="shared" si="106"/>
        <v>0</v>
      </c>
    </row>
    <row r="85" spans="1:26" ht="18.75" customHeight="1" x14ac:dyDescent="0.2">
      <c r="A85" s="375" t="s">
        <v>897</v>
      </c>
      <c r="B85" s="252" t="s">
        <v>73</v>
      </c>
      <c r="C85" s="252" t="s">
        <v>233</v>
      </c>
      <c r="D85" s="252" t="s">
        <v>196</v>
      </c>
      <c r="E85" s="251" t="s">
        <v>1252</v>
      </c>
      <c r="F85" s="252" t="s">
        <v>832</v>
      </c>
      <c r="G85" s="257"/>
      <c r="H85" s="257">
        <v>0</v>
      </c>
      <c r="I85" s="257">
        <f>3475.42-465.92</f>
        <v>3009.5</v>
      </c>
      <c r="J85" s="257">
        <f t="shared" si="107"/>
        <v>3009.5</v>
      </c>
      <c r="K85" s="257">
        <v>75.38</v>
      </c>
      <c r="L85" s="257">
        <v>3606</v>
      </c>
      <c r="M85" s="257">
        <v>3606</v>
      </c>
      <c r="N85" s="257">
        <v>0</v>
      </c>
      <c r="O85" s="257">
        <f>M85+N85</f>
        <v>3606</v>
      </c>
      <c r="P85" s="257">
        <v>3606</v>
      </c>
      <c r="Q85" s="257">
        <v>0</v>
      </c>
      <c r="R85" s="257">
        <v>0</v>
      </c>
      <c r="S85" s="257">
        <f>1200</f>
        <v>1200</v>
      </c>
      <c r="T85" s="257">
        <v>0</v>
      </c>
      <c r="U85" s="257">
        <v>1200</v>
      </c>
      <c r="V85" s="257">
        <v>0</v>
      </c>
      <c r="W85" s="257">
        <v>1200</v>
      </c>
      <c r="X85" s="257">
        <v>0</v>
      </c>
      <c r="Y85" s="257">
        <v>1200</v>
      </c>
      <c r="Z85" s="257">
        <f t="shared" ref="Z85:Z86" si="111">X85+Y85</f>
        <v>1200</v>
      </c>
    </row>
    <row r="86" spans="1:26" ht="34.5" customHeight="1" x14ac:dyDescent="0.2">
      <c r="A86" s="273" t="s">
        <v>900</v>
      </c>
      <c r="B86" s="252" t="s">
        <v>73</v>
      </c>
      <c r="C86" s="252" t="s">
        <v>233</v>
      </c>
      <c r="D86" s="252" t="s">
        <v>196</v>
      </c>
      <c r="E86" s="251" t="s">
        <v>1252</v>
      </c>
      <c r="F86" s="252" t="s">
        <v>899</v>
      </c>
      <c r="G86" s="257"/>
      <c r="H86" s="257">
        <v>0</v>
      </c>
      <c r="I86" s="257">
        <f>1049.58-140.7</f>
        <v>908.87999999999988</v>
      </c>
      <c r="J86" s="257">
        <f t="shared" si="107"/>
        <v>908.87999999999988</v>
      </c>
      <c r="K86" s="257">
        <v>22.754000000000001</v>
      </c>
      <c r="L86" s="257">
        <v>1090</v>
      </c>
      <c r="M86" s="257">
        <v>1090</v>
      </c>
      <c r="N86" s="257">
        <v>0</v>
      </c>
      <c r="O86" s="257">
        <f t="shared" ref="O86" si="112">M86+N86</f>
        <v>1090</v>
      </c>
      <c r="P86" s="257">
        <v>1090</v>
      </c>
      <c r="Q86" s="257">
        <v>0</v>
      </c>
      <c r="R86" s="257">
        <v>0</v>
      </c>
      <c r="S86" s="257">
        <f>140</f>
        <v>140</v>
      </c>
      <c r="T86" s="257">
        <v>0</v>
      </c>
      <c r="U86" s="257">
        <v>360</v>
      </c>
      <c r="V86" s="257">
        <v>0</v>
      </c>
      <c r="W86" s="257">
        <v>360</v>
      </c>
      <c r="X86" s="257">
        <v>0</v>
      </c>
      <c r="Y86" s="257">
        <v>360</v>
      </c>
      <c r="Z86" s="257">
        <f t="shared" si="111"/>
        <v>360</v>
      </c>
    </row>
    <row r="87" spans="1:26" ht="15.75" customHeight="1" x14ac:dyDescent="0.2">
      <c r="A87" s="259" t="s">
        <v>952</v>
      </c>
      <c r="B87" s="252" t="s">
        <v>73</v>
      </c>
      <c r="C87" s="252" t="s">
        <v>233</v>
      </c>
      <c r="D87" s="252" t="s">
        <v>196</v>
      </c>
      <c r="E87" s="251" t="s">
        <v>845</v>
      </c>
      <c r="F87" s="252" t="s">
        <v>919</v>
      </c>
      <c r="G87" s="257"/>
      <c r="H87" s="257">
        <v>115</v>
      </c>
      <c r="I87" s="257">
        <v>-65</v>
      </c>
      <c r="J87" s="257">
        <f t="shared" si="98"/>
        <v>50</v>
      </c>
      <c r="K87" s="257">
        <v>-44.4</v>
      </c>
      <c r="L87" s="257">
        <v>50</v>
      </c>
      <c r="M87" s="257">
        <v>50</v>
      </c>
      <c r="N87" s="257">
        <v>0</v>
      </c>
      <c r="O87" s="257">
        <f t="shared" si="109"/>
        <v>50</v>
      </c>
      <c r="P87" s="257">
        <v>50</v>
      </c>
      <c r="Q87" s="257">
        <v>0</v>
      </c>
      <c r="R87" s="257">
        <f t="shared" si="108"/>
        <v>50</v>
      </c>
      <c r="S87" s="257">
        <v>20</v>
      </c>
      <c r="T87" s="257">
        <v>0</v>
      </c>
      <c r="U87" s="257">
        <v>30</v>
      </c>
      <c r="V87" s="257">
        <v>0</v>
      </c>
      <c r="W87" s="257">
        <v>30</v>
      </c>
      <c r="X87" s="257">
        <v>30</v>
      </c>
      <c r="Y87" s="257">
        <v>-10</v>
      </c>
      <c r="Z87" s="257">
        <f t="shared" si="106"/>
        <v>20</v>
      </c>
    </row>
    <row r="88" spans="1:26" ht="21" hidden="1" customHeight="1" x14ac:dyDescent="0.2">
      <c r="A88" s="259" t="s">
        <v>99</v>
      </c>
      <c r="B88" s="252" t="s">
        <v>73</v>
      </c>
      <c r="C88" s="252" t="s">
        <v>233</v>
      </c>
      <c r="D88" s="252" t="s">
        <v>196</v>
      </c>
      <c r="E88" s="251" t="s">
        <v>845</v>
      </c>
      <c r="F88" s="252" t="s">
        <v>100</v>
      </c>
      <c r="G88" s="257"/>
      <c r="H88" s="257">
        <v>80</v>
      </c>
      <c r="I88" s="257">
        <v>-30</v>
      </c>
      <c r="J88" s="257">
        <f t="shared" si="98"/>
        <v>50</v>
      </c>
      <c r="K88" s="257">
        <v>0</v>
      </c>
      <c r="L88" s="257">
        <v>105</v>
      </c>
      <c r="M88" s="257">
        <v>105</v>
      </c>
      <c r="N88" s="257">
        <v>0</v>
      </c>
      <c r="O88" s="257">
        <f t="shared" si="109"/>
        <v>105</v>
      </c>
      <c r="P88" s="257">
        <v>105</v>
      </c>
      <c r="Q88" s="257">
        <v>0</v>
      </c>
      <c r="R88" s="257">
        <f t="shared" si="108"/>
        <v>105</v>
      </c>
      <c r="S88" s="257">
        <v>-105</v>
      </c>
      <c r="T88" s="257">
        <v>245</v>
      </c>
      <c r="U88" s="257">
        <v>0</v>
      </c>
      <c r="V88" s="257">
        <v>245</v>
      </c>
      <c r="W88" s="257">
        <v>-245</v>
      </c>
      <c r="X88" s="257">
        <v>0</v>
      </c>
      <c r="Y88" s="257">
        <v>0</v>
      </c>
      <c r="Z88" s="257">
        <f t="shared" si="106"/>
        <v>0</v>
      </c>
    </row>
    <row r="89" spans="1:26" ht="23.25" customHeight="1" x14ac:dyDescent="0.2">
      <c r="A89" s="259" t="s">
        <v>93</v>
      </c>
      <c r="B89" s="252" t="s">
        <v>73</v>
      </c>
      <c r="C89" s="252" t="s">
        <v>233</v>
      </c>
      <c r="D89" s="252" t="s">
        <v>196</v>
      </c>
      <c r="E89" s="251" t="s">
        <v>845</v>
      </c>
      <c r="F89" s="252" t="s">
        <v>94</v>
      </c>
      <c r="G89" s="257"/>
      <c r="H89" s="257">
        <v>350</v>
      </c>
      <c r="I89" s="257">
        <v>95</v>
      </c>
      <c r="J89" s="257">
        <f t="shared" si="98"/>
        <v>445</v>
      </c>
      <c r="K89" s="257">
        <v>44.4</v>
      </c>
      <c r="L89" s="257">
        <v>400</v>
      </c>
      <c r="M89" s="257">
        <v>400</v>
      </c>
      <c r="N89" s="257">
        <v>0</v>
      </c>
      <c r="O89" s="257">
        <f t="shared" si="109"/>
        <v>400</v>
      </c>
      <c r="P89" s="257">
        <v>400</v>
      </c>
      <c r="Q89" s="257">
        <v>0</v>
      </c>
      <c r="R89" s="257">
        <f t="shared" si="108"/>
        <v>400</v>
      </c>
      <c r="S89" s="257">
        <v>-100</v>
      </c>
      <c r="T89" s="257">
        <f>400-150</f>
        <v>250</v>
      </c>
      <c r="U89" s="257">
        <v>0</v>
      </c>
      <c r="V89" s="257">
        <v>252</v>
      </c>
      <c r="W89" s="257">
        <v>168</v>
      </c>
      <c r="X89" s="257">
        <v>497</v>
      </c>
      <c r="Y89" s="257">
        <v>0</v>
      </c>
      <c r="Z89" s="257">
        <f t="shared" si="106"/>
        <v>497</v>
      </c>
    </row>
    <row r="90" spans="1:26" ht="15.75" customHeight="1" x14ac:dyDescent="0.2">
      <c r="A90" s="259" t="s">
        <v>103</v>
      </c>
      <c r="B90" s="252" t="s">
        <v>73</v>
      </c>
      <c r="C90" s="252" t="s">
        <v>233</v>
      </c>
      <c r="D90" s="252" t="s">
        <v>196</v>
      </c>
      <c r="E90" s="251" t="s">
        <v>845</v>
      </c>
      <c r="F90" s="252" t="s">
        <v>104</v>
      </c>
      <c r="G90" s="257"/>
      <c r="H90" s="257">
        <v>34</v>
      </c>
      <c r="I90" s="257">
        <v>0</v>
      </c>
      <c r="J90" s="257">
        <f t="shared" si="98"/>
        <v>34</v>
      </c>
      <c r="K90" s="257">
        <v>0</v>
      </c>
      <c r="L90" s="257">
        <f>I90+J90</f>
        <v>34</v>
      </c>
      <c r="M90" s="257">
        <f>J90+K90</f>
        <v>34</v>
      </c>
      <c r="N90" s="257">
        <v>0</v>
      </c>
      <c r="O90" s="257">
        <f t="shared" si="109"/>
        <v>34</v>
      </c>
      <c r="P90" s="257">
        <f t="shared" ref="P90" si="113">M90+N90</f>
        <v>34</v>
      </c>
      <c r="Q90" s="257">
        <v>0</v>
      </c>
      <c r="R90" s="257">
        <f t="shared" si="108"/>
        <v>34</v>
      </c>
      <c r="S90" s="257">
        <v>-18</v>
      </c>
      <c r="T90" s="257">
        <v>0</v>
      </c>
      <c r="U90" s="257">
        <v>30</v>
      </c>
      <c r="V90" s="257">
        <v>0</v>
      </c>
      <c r="W90" s="257">
        <v>30</v>
      </c>
      <c r="X90" s="257">
        <v>0</v>
      </c>
      <c r="Y90" s="257">
        <v>30</v>
      </c>
      <c r="Z90" s="257">
        <f t="shared" si="106"/>
        <v>30</v>
      </c>
    </row>
    <row r="91" spans="1:26" ht="13.5" hidden="1" customHeight="1" x14ac:dyDescent="0.2">
      <c r="A91" s="259" t="s">
        <v>105</v>
      </c>
      <c r="B91" s="252" t="s">
        <v>73</v>
      </c>
      <c r="C91" s="252" t="s">
        <v>233</v>
      </c>
      <c r="D91" s="252" t="s">
        <v>196</v>
      </c>
      <c r="E91" s="251" t="s">
        <v>845</v>
      </c>
      <c r="F91" s="252" t="s">
        <v>106</v>
      </c>
      <c r="G91" s="257"/>
      <c r="H91" s="257">
        <v>21</v>
      </c>
      <c r="I91" s="257">
        <v>0</v>
      </c>
      <c r="J91" s="257">
        <f t="shared" si="98"/>
        <v>21</v>
      </c>
      <c r="K91" s="257">
        <v>-3</v>
      </c>
      <c r="L91" s="257">
        <v>21</v>
      </c>
      <c r="M91" s="257">
        <v>21</v>
      </c>
      <c r="N91" s="257">
        <v>0</v>
      </c>
      <c r="O91" s="257">
        <f t="shared" si="109"/>
        <v>21</v>
      </c>
      <c r="P91" s="257">
        <v>21</v>
      </c>
      <c r="Q91" s="257">
        <v>0</v>
      </c>
      <c r="R91" s="257">
        <f t="shared" si="108"/>
        <v>21</v>
      </c>
      <c r="S91" s="257">
        <v>-21</v>
      </c>
      <c r="T91" s="257">
        <v>0</v>
      </c>
      <c r="U91" s="257">
        <v>0</v>
      </c>
      <c r="V91" s="257">
        <f t="shared" si="102"/>
        <v>0</v>
      </c>
      <c r="W91" s="257">
        <v>0</v>
      </c>
      <c r="X91" s="257">
        <f t="shared" si="104"/>
        <v>0</v>
      </c>
      <c r="Y91" s="257">
        <v>0</v>
      </c>
      <c r="Z91" s="257">
        <f t="shared" si="106"/>
        <v>0</v>
      </c>
    </row>
    <row r="92" spans="1:26" ht="15.75" hidden="1" customHeight="1" x14ac:dyDescent="0.2">
      <c r="A92" s="259" t="s">
        <v>906</v>
      </c>
      <c r="B92" s="252" t="s">
        <v>73</v>
      </c>
      <c r="C92" s="252" t="s">
        <v>233</v>
      </c>
      <c r="D92" s="252" t="s">
        <v>196</v>
      </c>
      <c r="E92" s="251" t="s">
        <v>845</v>
      </c>
      <c r="F92" s="252" t="s">
        <v>905</v>
      </c>
      <c r="G92" s="257"/>
      <c r="H92" s="257"/>
      <c r="I92" s="257"/>
      <c r="J92" s="257"/>
      <c r="K92" s="257">
        <v>3</v>
      </c>
      <c r="L92" s="257">
        <v>0</v>
      </c>
      <c r="M92" s="257">
        <v>0</v>
      </c>
      <c r="N92" s="257">
        <v>0</v>
      </c>
      <c r="O92" s="257">
        <v>0</v>
      </c>
      <c r="P92" s="257">
        <v>0</v>
      </c>
      <c r="Q92" s="257">
        <v>0</v>
      </c>
      <c r="R92" s="257">
        <v>0</v>
      </c>
      <c r="S92" s="257">
        <v>0</v>
      </c>
      <c r="T92" s="257">
        <v>2</v>
      </c>
      <c r="U92" s="257">
        <v>-2</v>
      </c>
      <c r="V92" s="257">
        <f t="shared" si="102"/>
        <v>0</v>
      </c>
      <c r="W92" s="257">
        <v>0</v>
      </c>
      <c r="X92" s="257">
        <f t="shared" si="104"/>
        <v>0</v>
      </c>
      <c r="Y92" s="257">
        <v>0</v>
      </c>
      <c r="Z92" s="257">
        <f t="shared" si="106"/>
        <v>0</v>
      </c>
    </row>
    <row r="93" spans="1:26" ht="33" hidden="1" customHeight="1" x14ac:dyDescent="0.2">
      <c r="A93" s="259" t="s">
        <v>997</v>
      </c>
      <c r="B93" s="252" t="s">
        <v>73</v>
      </c>
      <c r="C93" s="252" t="s">
        <v>233</v>
      </c>
      <c r="D93" s="252" t="s">
        <v>196</v>
      </c>
      <c r="E93" s="251" t="s">
        <v>747</v>
      </c>
      <c r="F93" s="252"/>
      <c r="G93" s="257"/>
      <c r="H93" s="257">
        <f>H94</f>
        <v>1000</v>
      </c>
      <c r="I93" s="257">
        <f>I94</f>
        <v>0</v>
      </c>
      <c r="J93" s="257">
        <f t="shared" ref="J93:J109" si="114">H93+I93</f>
        <v>1000</v>
      </c>
      <c r="K93" s="257">
        <f>K94</f>
        <v>0</v>
      </c>
      <c r="L93" s="257">
        <f>L94</f>
        <v>500</v>
      </c>
      <c r="M93" s="257">
        <f>M94</f>
        <v>500</v>
      </c>
      <c r="N93" s="257">
        <f t="shared" ref="N93:Z93" si="115">N94</f>
        <v>0</v>
      </c>
      <c r="O93" s="257">
        <f t="shared" si="115"/>
        <v>500</v>
      </c>
      <c r="P93" s="257">
        <f t="shared" si="115"/>
        <v>500</v>
      </c>
      <c r="Q93" s="257">
        <f t="shared" si="115"/>
        <v>0</v>
      </c>
      <c r="R93" s="257">
        <f t="shared" si="115"/>
        <v>500</v>
      </c>
      <c r="S93" s="257">
        <f t="shared" si="115"/>
        <v>-500</v>
      </c>
      <c r="T93" s="257">
        <f t="shared" si="115"/>
        <v>500</v>
      </c>
      <c r="U93" s="257">
        <f t="shared" si="115"/>
        <v>-500</v>
      </c>
      <c r="V93" s="257">
        <f t="shared" si="115"/>
        <v>0</v>
      </c>
      <c r="W93" s="257">
        <f t="shared" si="115"/>
        <v>0</v>
      </c>
      <c r="X93" s="257">
        <f t="shared" si="115"/>
        <v>0</v>
      </c>
      <c r="Y93" s="257">
        <f t="shared" si="115"/>
        <v>0</v>
      </c>
      <c r="Z93" s="257">
        <f t="shared" si="115"/>
        <v>0</v>
      </c>
    </row>
    <row r="94" spans="1:26" ht="20.25" hidden="1" customHeight="1" x14ac:dyDescent="0.2">
      <c r="A94" s="259" t="s">
        <v>93</v>
      </c>
      <c r="B94" s="252" t="s">
        <v>73</v>
      </c>
      <c r="C94" s="252" t="s">
        <v>233</v>
      </c>
      <c r="D94" s="252" t="s">
        <v>196</v>
      </c>
      <c r="E94" s="251" t="s">
        <v>747</v>
      </c>
      <c r="F94" s="252" t="s">
        <v>94</v>
      </c>
      <c r="G94" s="257"/>
      <c r="H94" s="257">
        <v>1000</v>
      </c>
      <c r="I94" s="257">
        <v>0</v>
      </c>
      <c r="J94" s="257">
        <f t="shared" si="114"/>
        <v>1000</v>
      </c>
      <c r="K94" s="257">
        <v>0</v>
      </c>
      <c r="L94" s="257">
        <v>500</v>
      </c>
      <c r="M94" s="257">
        <v>500</v>
      </c>
      <c r="N94" s="257">
        <v>0</v>
      </c>
      <c r="O94" s="257">
        <f>M94+N94</f>
        <v>500</v>
      </c>
      <c r="P94" s="257">
        <v>500</v>
      </c>
      <c r="Q94" s="257">
        <v>0</v>
      </c>
      <c r="R94" s="257">
        <f>P94+Q94</f>
        <v>500</v>
      </c>
      <c r="S94" s="257">
        <v>-500</v>
      </c>
      <c r="T94" s="257">
        <v>500</v>
      </c>
      <c r="U94" s="257">
        <v>-500</v>
      </c>
      <c r="V94" s="257">
        <f t="shared" ref="V94" si="116">T94+U94</f>
        <v>0</v>
      </c>
      <c r="W94" s="257">
        <v>0</v>
      </c>
      <c r="X94" s="257">
        <f t="shared" ref="X94" si="117">V94+W94</f>
        <v>0</v>
      </c>
      <c r="Y94" s="257">
        <v>0</v>
      </c>
      <c r="Z94" s="257">
        <f t="shared" ref="Z94" si="118">X94+Y94</f>
        <v>0</v>
      </c>
    </row>
    <row r="95" spans="1:26" s="430" customFormat="1" ht="20.25" customHeight="1" x14ac:dyDescent="0.2">
      <c r="A95" s="462" t="s">
        <v>65</v>
      </c>
      <c r="B95" s="250" t="s">
        <v>73</v>
      </c>
      <c r="C95" s="250">
        <v>10</v>
      </c>
      <c r="D95" s="250"/>
      <c r="E95" s="253"/>
      <c r="F95" s="250"/>
      <c r="G95" s="275">
        <f t="shared" ref="G95:K96" si="119">G96</f>
        <v>0</v>
      </c>
      <c r="H95" s="275">
        <f>H96</f>
        <v>485</v>
      </c>
      <c r="I95" s="275">
        <f t="shared" si="119"/>
        <v>0</v>
      </c>
      <c r="J95" s="275">
        <f t="shared" si="114"/>
        <v>485</v>
      </c>
      <c r="K95" s="275" t="e">
        <f t="shared" si="119"/>
        <v>#REF!</v>
      </c>
      <c r="L95" s="275">
        <f>L96</f>
        <v>776</v>
      </c>
      <c r="M95" s="275">
        <f>M96</f>
        <v>776</v>
      </c>
      <c r="N95" s="275">
        <f t="shared" ref="N95:Z96" si="120">N96</f>
        <v>0</v>
      </c>
      <c r="O95" s="275">
        <f t="shared" si="120"/>
        <v>776</v>
      </c>
      <c r="P95" s="275">
        <f t="shared" si="120"/>
        <v>776</v>
      </c>
      <c r="Q95" s="275">
        <f t="shared" si="120"/>
        <v>0</v>
      </c>
      <c r="R95" s="275">
        <f t="shared" si="120"/>
        <v>388</v>
      </c>
      <c r="S95" s="275">
        <f t="shared" si="120"/>
        <v>3279.4</v>
      </c>
      <c r="T95" s="275">
        <f t="shared" si="120"/>
        <v>4713.7</v>
      </c>
      <c r="U95" s="275">
        <f t="shared" si="120"/>
        <v>-3066.7</v>
      </c>
      <c r="V95" s="275">
        <f t="shared" si="120"/>
        <v>1643.1</v>
      </c>
      <c r="W95" s="275">
        <f t="shared" si="120"/>
        <v>84.2</v>
      </c>
      <c r="X95" s="275">
        <f>X96+X100</f>
        <v>3644.2</v>
      </c>
      <c r="Y95" s="275">
        <f t="shared" ref="Y95:Z95" si="121">Y96+Y100</f>
        <v>-1285</v>
      </c>
      <c r="Z95" s="275">
        <f t="shared" si="121"/>
        <v>2359.1999999999998</v>
      </c>
    </row>
    <row r="96" spans="1:26" ht="20.25" hidden="1" customHeight="1" x14ac:dyDescent="0.2">
      <c r="A96" s="462" t="s">
        <v>277</v>
      </c>
      <c r="B96" s="250" t="s">
        <v>73</v>
      </c>
      <c r="C96" s="250">
        <v>10</v>
      </c>
      <c r="D96" s="250" t="s">
        <v>194</v>
      </c>
      <c r="E96" s="253"/>
      <c r="F96" s="250"/>
      <c r="G96" s="275">
        <f t="shared" si="119"/>
        <v>0</v>
      </c>
      <c r="H96" s="275">
        <f>H97</f>
        <v>485</v>
      </c>
      <c r="I96" s="275">
        <f t="shared" si="119"/>
        <v>0</v>
      </c>
      <c r="J96" s="275">
        <f t="shared" si="114"/>
        <v>485</v>
      </c>
      <c r="K96" s="275" t="e">
        <f t="shared" si="119"/>
        <v>#REF!</v>
      </c>
      <c r="L96" s="275">
        <f>L97</f>
        <v>776</v>
      </c>
      <c r="M96" s="275">
        <f>M97</f>
        <v>776</v>
      </c>
      <c r="N96" s="275">
        <f t="shared" si="120"/>
        <v>0</v>
      </c>
      <c r="O96" s="275">
        <f t="shared" si="120"/>
        <v>776</v>
      </c>
      <c r="P96" s="275">
        <f t="shared" si="120"/>
        <v>776</v>
      </c>
      <c r="Q96" s="275">
        <f t="shared" si="120"/>
        <v>0</v>
      </c>
      <c r="R96" s="275">
        <f t="shared" si="120"/>
        <v>388</v>
      </c>
      <c r="S96" s="275">
        <f t="shared" si="120"/>
        <v>3279.4</v>
      </c>
      <c r="T96" s="275">
        <f t="shared" si="120"/>
        <v>4713.7</v>
      </c>
      <c r="U96" s="275">
        <f t="shared" si="120"/>
        <v>-3066.7</v>
      </c>
      <c r="V96" s="275">
        <f t="shared" si="120"/>
        <v>1643.1</v>
      </c>
      <c r="W96" s="275">
        <f t="shared" si="120"/>
        <v>84.2</v>
      </c>
      <c r="X96" s="275">
        <f t="shared" si="120"/>
        <v>0</v>
      </c>
      <c r="Y96" s="275">
        <f t="shared" si="120"/>
        <v>0</v>
      </c>
      <c r="Z96" s="275">
        <f t="shared" si="120"/>
        <v>0</v>
      </c>
    </row>
    <row r="97" spans="1:26" ht="20.25" hidden="1" customHeight="1" x14ac:dyDescent="0.2">
      <c r="A97" s="259" t="s">
        <v>501</v>
      </c>
      <c r="B97" s="252" t="s">
        <v>73</v>
      </c>
      <c r="C97" s="252">
        <v>10</v>
      </c>
      <c r="D97" s="252" t="s">
        <v>194</v>
      </c>
      <c r="E97" s="251" t="s">
        <v>755</v>
      </c>
      <c r="F97" s="252"/>
      <c r="G97" s="257">
        <v>0</v>
      </c>
      <c r="H97" s="257">
        <f>H99</f>
        <v>485</v>
      </c>
      <c r="I97" s="257">
        <f>I99</f>
        <v>0</v>
      </c>
      <c r="J97" s="257">
        <f t="shared" si="114"/>
        <v>485</v>
      </c>
      <c r="K97" s="257" t="e">
        <f>K99+#REF!+K103</f>
        <v>#REF!</v>
      </c>
      <c r="L97" s="257">
        <f>L99+L103</f>
        <v>776</v>
      </c>
      <c r="M97" s="257">
        <f>M99+M103</f>
        <v>776</v>
      </c>
      <c r="N97" s="257">
        <f t="shared" ref="N97:Q97" si="122">N99+N103</f>
        <v>0</v>
      </c>
      <c r="O97" s="257">
        <f t="shared" si="122"/>
        <v>776</v>
      </c>
      <c r="P97" s="257">
        <f t="shared" si="122"/>
        <v>776</v>
      </c>
      <c r="Q97" s="257">
        <f t="shared" si="122"/>
        <v>0</v>
      </c>
      <c r="R97" s="257">
        <f>R98+R99</f>
        <v>388</v>
      </c>
      <c r="S97" s="257">
        <f t="shared" ref="S97:T97" si="123">S98+S99</f>
        <v>3279.4</v>
      </c>
      <c r="T97" s="257">
        <f t="shared" si="123"/>
        <v>4713.7</v>
      </c>
      <c r="U97" s="257">
        <f t="shared" ref="U97:V97" si="124">U98+U99</f>
        <v>-3066.7</v>
      </c>
      <c r="V97" s="257">
        <f t="shared" si="124"/>
        <v>1643.1</v>
      </c>
      <c r="W97" s="257">
        <f t="shared" ref="W97:X97" si="125">W98+W99</f>
        <v>84.2</v>
      </c>
      <c r="X97" s="257">
        <f t="shared" si="125"/>
        <v>0</v>
      </c>
      <c r="Y97" s="257">
        <f t="shared" ref="Y97:Z97" si="126">Y98+Y99</f>
        <v>0</v>
      </c>
      <c r="Z97" s="257">
        <f t="shared" si="126"/>
        <v>0</v>
      </c>
    </row>
    <row r="98" spans="1:26" ht="20.25" hidden="1" customHeight="1" x14ac:dyDescent="0.2">
      <c r="A98" s="259" t="s">
        <v>1112</v>
      </c>
      <c r="B98" s="252" t="s">
        <v>73</v>
      </c>
      <c r="C98" s="252">
        <v>10</v>
      </c>
      <c r="D98" s="252" t="s">
        <v>194</v>
      </c>
      <c r="E98" s="251" t="s">
        <v>1113</v>
      </c>
      <c r="F98" s="252" t="s">
        <v>305</v>
      </c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>
        <v>3267.4</v>
      </c>
      <c r="T98" s="257">
        <v>4313.7</v>
      </c>
      <c r="U98" s="257">
        <v>-3066.7</v>
      </c>
      <c r="V98" s="257">
        <v>1243.0999999999999</v>
      </c>
      <c r="W98" s="257">
        <v>84.2</v>
      </c>
      <c r="X98" s="257">
        <v>0</v>
      </c>
      <c r="Y98" s="257">
        <v>0</v>
      </c>
      <c r="Z98" s="257">
        <f t="shared" ref="Z98:Z99" si="127">X98+Y98</f>
        <v>0</v>
      </c>
    </row>
    <row r="99" spans="1:26" ht="20.25" hidden="1" customHeight="1" x14ac:dyDescent="0.2">
      <c r="A99" s="259" t="s">
        <v>1114</v>
      </c>
      <c r="B99" s="252" t="s">
        <v>73</v>
      </c>
      <c r="C99" s="252">
        <v>10</v>
      </c>
      <c r="D99" s="252" t="s">
        <v>194</v>
      </c>
      <c r="E99" s="251" t="s">
        <v>1113</v>
      </c>
      <c r="F99" s="252" t="s">
        <v>305</v>
      </c>
      <c r="G99" s="257"/>
      <c r="H99" s="257">
        <v>485</v>
      </c>
      <c r="I99" s="257">
        <v>0</v>
      </c>
      <c r="J99" s="257">
        <f t="shared" si="114"/>
        <v>485</v>
      </c>
      <c r="K99" s="257">
        <v>0</v>
      </c>
      <c r="L99" s="257">
        <v>388</v>
      </c>
      <c r="M99" s="257">
        <v>388</v>
      </c>
      <c r="N99" s="257">
        <v>0</v>
      </c>
      <c r="O99" s="257">
        <f>M99+N99</f>
        <v>388</v>
      </c>
      <c r="P99" s="257">
        <v>388</v>
      </c>
      <c r="Q99" s="257">
        <v>0</v>
      </c>
      <c r="R99" s="257">
        <f>P99+Q99</f>
        <v>388</v>
      </c>
      <c r="S99" s="257">
        <v>12</v>
      </c>
      <c r="T99" s="257">
        <f t="shared" ref="T99" si="128">R99+S99</f>
        <v>400</v>
      </c>
      <c r="U99" s="257">
        <v>0</v>
      </c>
      <c r="V99" s="257">
        <v>400</v>
      </c>
      <c r="W99" s="257">
        <v>0</v>
      </c>
      <c r="X99" s="257">
        <v>0</v>
      </c>
      <c r="Y99" s="257">
        <v>0</v>
      </c>
      <c r="Z99" s="257">
        <f t="shared" si="127"/>
        <v>0</v>
      </c>
    </row>
    <row r="100" spans="1:26" ht="20.25" customHeight="1" x14ac:dyDescent="0.2">
      <c r="A100" s="462" t="s">
        <v>278</v>
      </c>
      <c r="B100" s="250" t="s">
        <v>73</v>
      </c>
      <c r="C100" s="250">
        <v>10</v>
      </c>
      <c r="D100" s="250" t="s">
        <v>196</v>
      </c>
      <c r="E100" s="253"/>
      <c r="F100" s="250"/>
      <c r="G100" s="275">
        <f t="shared" ref="G100:K100" si="129">G101</f>
        <v>0</v>
      </c>
      <c r="H100" s="275">
        <f>H101</f>
        <v>485</v>
      </c>
      <c r="I100" s="275">
        <f t="shared" si="129"/>
        <v>0</v>
      </c>
      <c r="J100" s="275">
        <f t="shared" ref="J100:J101" si="130">H100+I100</f>
        <v>485</v>
      </c>
      <c r="K100" s="275" t="e">
        <f t="shared" si="129"/>
        <v>#REF!</v>
      </c>
      <c r="L100" s="275">
        <f>L101</f>
        <v>888</v>
      </c>
      <c r="M100" s="275">
        <f>M101</f>
        <v>888</v>
      </c>
      <c r="N100" s="275">
        <f t="shared" ref="N100:Z100" si="131">N101</f>
        <v>0</v>
      </c>
      <c r="O100" s="275">
        <f t="shared" si="131"/>
        <v>888</v>
      </c>
      <c r="P100" s="275">
        <f t="shared" si="131"/>
        <v>888</v>
      </c>
      <c r="Q100" s="275">
        <f t="shared" si="131"/>
        <v>0</v>
      </c>
      <c r="R100" s="275">
        <f t="shared" si="131"/>
        <v>388</v>
      </c>
      <c r="S100" s="275">
        <f t="shared" si="131"/>
        <v>3279.4</v>
      </c>
      <c r="T100" s="275">
        <f t="shared" si="131"/>
        <v>4713.7</v>
      </c>
      <c r="U100" s="275">
        <f t="shared" si="131"/>
        <v>-3066.7</v>
      </c>
      <c r="V100" s="275">
        <f t="shared" si="131"/>
        <v>1643.1</v>
      </c>
      <c r="W100" s="275">
        <f t="shared" si="131"/>
        <v>84.2</v>
      </c>
      <c r="X100" s="275">
        <f t="shared" si="131"/>
        <v>3644.2</v>
      </c>
      <c r="Y100" s="275">
        <f t="shared" si="131"/>
        <v>-1285</v>
      </c>
      <c r="Z100" s="275">
        <f t="shared" si="131"/>
        <v>2359.1999999999998</v>
      </c>
    </row>
    <row r="101" spans="1:26" ht="20.25" customHeight="1" x14ac:dyDescent="0.2">
      <c r="A101" s="259" t="s">
        <v>501</v>
      </c>
      <c r="B101" s="252" t="s">
        <v>73</v>
      </c>
      <c r="C101" s="252">
        <v>10</v>
      </c>
      <c r="D101" s="252" t="s">
        <v>196</v>
      </c>
      <c r="E101" s="251" t="s">
        <v>755</v>
      </c>
      <c r="F101" s="252"/>
      <c r="G101" s="257">
        <v>0</v>
      </c>
      <c r="H101" s="257">
        <f>H103</f>
        <v>485</v>
      </c>
      <c r="I101" s="257">
        <f>I103</f>
        <v>0</v>
      </c>
      <c r="J101" s="257">
        <f t="shared" si="130"/>
        <v>485</v>
      </c>
      <c r="K101" s="257" t="e">
        <f>K103+#REF!+K109</f>
        <v>#REF!</v>
      </c>
      <c r="L101" s="257">
        <f>L103+L109</f>
        <v>888</v>
      </c>
      <c r="M101" s="257">
        <f>M103+M109</f>
        <v>888</v>
      </c>
      <c r="N101" s="257">
        <f t="shared" ref="N101:Q101" si="132">N103+N109</f>
        <v>0</v>
      </c>
      <c r="O101" s="257">
        <f t="shared" si="132"/>
        <v>888</v>
      </c>
      <c r="P101" s="257">
        <f t="shared" si="132"/>
        <v>888</v>
      </c>
      <c r="Q101" s="257">
        <f t="shared" si="132"/>
        <v>0</v>
      </c>
      <c r="R101" s="257">
        <f>R102+R103</f>
        <v>388</v>
      </c>
      <c r="S101" s="257">
        <f t="shared" ref="S101:W101" si="133">S102+S103</f>
        <v>3279.4</v>
      </c>
      <c r="T101" s="257">
        <f t="shared" si="133"/>
        <v>4713.7</v>
      </c>
      <c r="U101" s="257">
        <f t="shared" si="133"/>
        <v>-3066.7</v>
      </c>
      <c r="V101" s="257">
        <f t="shared" si="133"/>
        <v>1643.1</v>
      </c>
      <c r="W101" s="257">
        <f t="shared" si="133"/>
        <v>84.2</v>
      </c>
      <c r="X101" s="257">
        <f>X102+X103+X104+X105</f>
        <v>3644.2</v>
      </c>
      <c r="Y101" s="257">
        <f t="shared" ref="Y101:Z101" si="134">Y102+Y103+Y104+Y105</f>
        <v>-1285</v>
      </c>
      <c r="Z101" s="257">
        <f t="shared" si="134"/>
        <v>2359.1999999999998</v>
      </c>
    </row>
    <row r="102" spans="1:26" ht="20.25" customHeight="1" x14ac:dyDescent="0.2">
      <c r="A102" s="259" t="s">
        <v>1112</v>
      </c>
      <c r="B102" s="252" t="s">
        <v>73</v>
      </c>
      <c r="C102" s="252">
        <v>10</v>
      </c>
      <c r="D102" s="252" t="s">
        <v>196</v>
      </c>
      <c r="E102" s="251" t="s">
        <v>1113</v>
      </c>
      <c r="F102" s="252" t="s">
        <v>305</v>
      </c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>
        <v>3267.4</v>
      </c>
      <c r="T102" s="257">
        <v>4313.7</v>
      </c>
      <c r="U102" s="257">
        <v>-3066.7</v>
      </c>
      <c r="V102" s="257">
        <v>1243.0999999999999</v>
      </c>
      <c r="W102" s="257">
        <v>84.2</v>
      </c>
      <c r="X102" s="257">
        <v>3244.2</v>
      </c>
      <c r="Y102" s="257">
        <v>-3244.2</v>
      </c>
      <c r="Z102" s="257">
        <f t="shared" ref="Z102:Z103" si="135">X102+Y102</f>
        <v>0</v>
      </c>
    </row>
    <row r="103" spans="1:26" ht="20.25" customHeight="1" x14ac:dyDescent="0.2">
      <c r="A103" s="259" t="s">
        <v>1114</v>
      </c>
      <c r="B103" s="252" t="s">
        <v>73</v>
      </c>
      <c r="C103" s="252">
        <v>10</v>
      </c>
      <c r="D103" s="252" t="s">
        <v>196</v>
      </c>
      <c r="E103" s="251" t="s">
        <v>1113</v>
      </c>
      <c r="F103" s="252" t="s">
        <v>305</v>
      </c>
      <c r="G103" s="257"/>
      <c r="H103" s="257">
        <v>485</v>
      </c>
      <c r="I103" s="257">
        <v>0</v>
      </c>
      <c r="J103" s="257">
        <f t="shared" ref="J103" si="136">H103+I103</f>
        <v>485</v>
      </c>
      <c r="K103" s="257">
        <v>0</v>
      </c>
      <c r="L103" s="257">
        <v>388</v>
      </c>
      <c r="M103" s="257">
        <v>388</v>
      </c>
      <c r="N103" s="257">
        <v>0</v>
      </c>
      <c r="O103" s="257">
        <f>M103+N103</f>
        <v>388</v>
      </c>
      <c r="P103" s="257">
        <v>388</v>
      </c>
      <c r="Q103" s="257">
        <v>0</v>
      </c>
      <c r="R103" s="257">
        <f>P103+Q103</f>
        <v>388</v>
      </c>
      <c r="S103" s="257">
        <v>12</v>
      </c>
      <c r="T103" s="257">
        <f t="shared" ref="T103" si="137">R103+S103</f>
        <v>400</v>
      </c>
      <c r="U103" s="257">
        <v>0</v>
      </c>
      <c r="V103" s="257">
        <v>400</v>
      </c>
      <c r="W103" s="257">
        <v>0</v>
      </c>
      <c r="X103" s="257">
        <v>400</v>
      </c>
      <c r="Y103" s="257">
        <v>-400</v>
      </c>
      <c r="Z103" s="257">
        <f t="shared" si="135"/>
        <v>0</v>
      </c>
    </row>
    <row r="104" spans="1:26" ht="36.75" customHeight="1" x14ac:dyDescent="0.2">
      <c r="A104" s="259" t="s">
        <v>1299</v>
      </c>
      <c r="B104" s="252" t="s">
        <v>73</v>
      </c>
      <c r="C104" s="252">
        <v>10</v>
      </c>
      <c r="D104" s="252" t="s">
        <v>196</v>
      </c>
      <c r="E104" s="251" t="s">
        <v>1241</v>
      </c>
      <c r="F104" s="252" t="s">
        <v>305</v>
      </c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>
        <v>3267.4</v>
      </c>
      <c r="T104" s="257">
        <v>4313.7</v>
      </c>
      <c r="U104" s="257">
        <v>-3066.7</v>
      </c>
      <c r="V104" s="257">
        <v>1243.0999999999999</v>
      </c>
      <c r="W104" s="257">
        <v>84.2</v>
      </c>
      <c r="X104" s="257">
        <v>0</v>
      </c>
      <c r="Y104" s="257">
        <v>1959.1999999999998</v>
      </c>
      <c r="Z104" s="257">
        <f t="shared" ref="Z104:Z105" si="138">X104+Y104</f>
        <v>1959.1999999999998</v>
      </c>
    </row>
    <row r="105" spans="1:26" ht="20.25" customHeight="1" x14ac:dyDescent="0.2">
      <c r="A105" s="259" t="s">
        <v>1114</v>
      </c>
      <c r="B105" s="252" t="s">
        <v>73</v>
      </c>
      <c r="C105" s="252">
        <v>10</v>
      </c>
      <c r="D105" s="252" t="s">
        <v>196</v>
      </c>
      <c r="E105" s="251" t="s">
        <v>1241</v>
      </c>
      <c r="F105" s="252" t="s">
        <v>305</v>
      </c>
      <c r="G105" s="257"/>
      <c r="H105" s="257">
        <v>485</v>
      </c>
      <c r="I105" s="257">
        <v>0</v>
      </c>
      <c r="J105" s="257">
        <f t="shared" ref="J105" si="139">H105+I105</f>
        <v>485</v>
      </c>
      <c r="K105" s="257">
        <v>0</v>
      </c>
      <c r="L105" s="257">
        <v>388</v>
      </c>
      <c r="M105" s="257">
        <v>388</v>
      </c>
      <c r="N105" s="257">
        <v>0</v>
      </c>
      <c r="O105" s="257">
        <f>M105+N105</f>
        <v>388</v>
      </c>
      <c r="P105" s="257">
        <v>388</v>
      </c>
      <c r="Q105" s="257">
        <v>0</v>
      </c>
      <c r="R105" s="257">
        <f>P105+Q105</f>
        <v>388</v>
      </c>
      <c r="S105" s="257">
        <v>12</v>
      </c>
      <c r="T105" s="257">
        <f t="shared" ref="T105" si="140">R105+S105</f>
        <v>400</v>
      </c>
      <c r="U105" s="257">
        <v>0</v>
      </c>
      <c r="V105" s="257">
        <v>400</v>
      </c>
      <c r="W105" s="257">
        <v>0</v>
      </c>
      <c r="X105" s="257">
        <v>0</v>
      </c>
      <c r="Y105" s="257">
        <v>400</v>
      </c>
      <c r="Z105" s="257">
        <f t="shared" si="138"/>
        <v>400</v>
      </c>
    </row>
    <row r="106" spans="1:26" s="430" customFormat="1" ht="20.25" customHeight="1" x14ac:dyDescent="0.2">
      <c r="A106" s="462" t="s">
        <v>271</v>
      </c>
      <c r="B106" s="250" t="s">
        <v>73</v>
      </c>
      <c r="C106" s="250" t="s">
        <v>204</v>
      </c>
      <c r="D106" s="250"/>
      <c r="E106" s="253"/>
      <c r="F106" s="250"/>
      <c r="G106" s="275">
        <f t="shared" ref="G106:Y108" si="141">G107</f>
        <v>0</v>
      </c>
      <c r="H106" s="275">
        <f>H107</f>
        <v>700</v>
      </c>
      <c r="I106" s="275">
        <f t="shared" si="141"/>
        <v>0</v>
      </c>
      <c r="J106" s="275">
        <f t="shared" si="114"/>
        <v>700</v>
      </c>
      <c r="K106" s="275">
        <f t="shared" si="141"/>
        <v>50</v>
      </c>
      <c r="L106" s="275">
        <f t="shared" si="141"/>
        <v>500</v>
      </c>
      <c r="M106" s="275">
        <f t="shared" si="141"/>
        <v>500</v>
      </c>
      <c r="N106" s="275">
        <f t="shared" si="141"/>
        <v>0</v>
      </c>
      <c r="O106" s="275">
        <f t="shared" si="141"/>
        <v>500</v>
      </c>
      <c r="P106" s="275">
        <f t="shared" si="141"/>
        <v>500</v>
      </c>
      <c r="Q106" s="275">
        <f t="shared" si="141"/>
        <v>0</v>
      </c>
      <c r="R106" s="275">
        <f>R107+R110</f>
        <v>500</v>
      </c>
      <c r="S106" s="275">
        <f t="shared" ref="S106:T106" si="142">S107+S110</f>
        <v>-200</v>
      </c>
      <c r="T106" s="275">
        <f t="shared" si="142"/>
        <v>500</v>
      </c>
      <c r="U106" s="275">
        <f t="shared" ref="U106:V106" si="143">U107+U110</f>
        <v>0</v>
      </c>
      <c r="V106" s="275">
        <f t="shared" si="143"/>
        <v>500</v>
      </c>
      <c r="W106" s="275">
        <f t="shared" ref="W106:X106" si="144">W107+W110</f>
        <v>0</v>
      </c>
      <c r="X106" s="275">
        <f t="shared" si="144"/>
        <v>500</v>
      </c>
      <c r="Y106" s="275">
        <f t="shared" ref="Y106:Z106" si="145">Y107+Y110</f>
        <v>0</v>
      </c>
      <c r="Z106" s="275">
        <f t="shared" si="145"/>
        <v>500</v>
      </c>
    </row>
    <row r="107" spans="1:26" ht="20.25" hidden="1" customHeight="1" x14ac:dyDescent="0.2">
      <c r="A107" s="259" t="s">
        <v>280</v>
      </c>
      <c r="B107" s="252" t="s">
        <v>73</v>
      </c>
      <c r="C107" s="252" t="s">
        <v>204</v>
      </c>
      <c r="D107" s="252" t="s">
        <v>190</v>
      </c>
      <c r="E107" s="251"/>
      <c r="F107" s="252"/>
      <c r="G107" s="257">
        <f t="shared" si="141"/>
        <v>0</v>
      </c>
      <c r="H107" s="257">
        <f>H108</f>
        <v>700</v>
      </c>
      <c r="I107" s="257">
        <f t="shared" si="141"/>
        <v>0</v>
      </c>
      <c r="J107" s="257">
        <f t="shared" si="114"/>
        <v>700</v>
      </c>
      <c r="K107" s="257">
        <f t="shared" si="141"/>
        <v>50</v>
      </c>
      <c r="L107" s="257">
        <f t="shared" si="141"/>
        <v>500</v>
      </c>
      <c r="M107" s="257">
        <f t="shared" si="141"/>
        <v>500</v>
      </c>
      <c r="N107" s="257">
        <f t="shared" si="141"/>
        <v>0</v>
      </c>
      <c r="O107" s="257">
        <f t="shared" si="141"/>
        <v>500</v>
      </c>
      <c r="P107" s="257">
        <f t="shared" si="141"/>
        <v>500</v>
      </c>
      <c r="Q107" s="257">
        <f t="shared" si="141"/>
        <v>0</v>
      </c>
      <c r="R107" s="257">
        <f t="shared" si="141"/>
        <v>500</v>
      </c>
      <c r="S107" s="257">
        <f t="shared" si="141"/>
        <v>-500</v>
      </c>
      <c r="T107" s="257">
        <f t="shared" si="141"/>
        <v>500</v>
      </c>
      <c r="U107" s="257">
        <f t="shared" si="141"/>
        <v>-500</v>
      </c>
      <c r="V107" s="257">
        <f t="shared" si="141"/>
        <v>0</v>
      </c>
      <c r="W107" s="257">
        <f t="shared" si="141"/>
        <v>0</v>
      </c>
      <c r="X107" s="257">
        <f t="shared" ref="W107:Z108" si="146">X108</f>
        <v>0</v>
      </c>
      <c r="Y107" s="257">
        <f t="shared" si="141"/>
        <v>0</v>
      </c>
      <c r="Z107" s="257">
        <f t="shared" si="146"/>
        <v>0</v>
      </c>
    </row>
    <row r="108" spans="1:26" ht="20.25" hidden="1" customHeight="1" x14ac:dyDescent="0.2">
      <c r="A108" s="259" t="s">
        <v>502</v>
      </c>
      <c r="B108" s="252" t="s">
        <v>73</v>
      </c>
      <c r="C108" s="252" t="s">
        <v>204</v>
      </c>
      <c r="D108" s="252" t="s">
        <v>190</v>
      </c>
      <c r="E108" s="251" t="s">
        <v>756</v>
      </c>
      <c r="F108" s="252"/>
      <c r="G108" s="257">
        <f t="shared" si="141"/>
        <v>0</v>
      </c>
      <c r="H108" s="257">
        <f>H109</f>
        <v>700</v>
      </c>
      <c r="I108" s="257">
        <f t="shared" si="141"/>
        <v>0</v>
      </c>
      <c r="J108" s="257">
        <f t="shared" si="114"/>
        <v>700</v>
      </c>
      <c r="K108" s="257">
        <f t="shared" si="141"/>
        <v>50</v>
      </c>
      <c r="L108" s="257">
        <f t="shared" si="141"/>
        <v>500</v>
      </c>
      <c r="M108" s="257">
        <f t="shared" si="141"/>
        <v>500</v>
      </c>
      <c r="N108" s="257">
        <f t="shared" si="141"/>
        <v>0</v>
      </c>
      <c r="O108" s="257">
        <f t="shared" si="141"/>
        <v>500</v>
      </c>
      <c r="P108" s="257">
        <f t="shared" si="141"/>
        <v>500</v>
      </c>
      <c r="Q108" s="257">
        <f t="shared" si="141"/>
        <v>0</v>
      </c>
      <c r="R108" s="257">
        <f t="shared" si="141"/>
        <v>500</v>
      </c>
      <c r="S108" s="257">
        <f t="shared" si="141"/>
        <v>-500</v>
      </c>
      <c r="T108" s="257">
        <f t="shared" si="141"/>
        <v>500</v>
      </c>
      <c r="U108" s="257">
        <f t="shared" si="141"/>
        <v>-500</v>
      </c>
      <c r="V108" s="257">
        <f t="shared" si="141"/>
        <v>0</v>
      </c>
      <c r="W108" s="257">
        <f t="shared" si="146"/>
        <v>0</v>
      </c>
      <c r="X108" s="257">
        <f t="shared" si="146"/>
        <v>0</v>
      </c>
      <c r="Y108" s="257">
        <f t="shared" si="146"/>
        <v>0</v>
      </c>
      <c r="Z108" s="257">
        <f t="shared" si="146"/>
        <v>0</v>
      </c>
    </row>
    <row r="109" spans="1:26" ht="20.25" hidden="1" customHeight="1" x14ac:dyDescent="0.2">
      <c r="A109" s="259" t="s">
        <v>93</v>
      </c>
      <c r="B109" s="252" t="s">
        <v>73</v>
      </c>
      <c r="C109" s="252" t="s">
        <v>204</v>
      </c>
      <c r="D109" s="252" t="s">
        <v>190</v>
      </c>
      <c r="E109" s="251" t="s">
        <v>756</v>
      </c>
      <c r="F109" s="252" t="s">
        <v>94</v>
      </c>
      <c r="G109" s="257"/>
      <c r="H109" s="257">
        <v>700</v>
      </c>
      <c r="I109" s="257">
        <v>0</v>
      </c>
      <c r="J109" s="257">
        <f t="shared" si="114"/>
        <v>700</v>
      </c>
      <c r="K109" s="257">
        <v>50</v>
      </c>
      <c r="L109" s="257">
        <v>500</v>
      </c>
      <c r="M109" s="257">
        <v>500</v>
      </c>
      <c r="N109" s="257">
        <v>0</v>
      </c>
      <c r="O109" s="257">
        <f>M109+N109</f>
        <v>500</v>
      </c>
      <c r="P109" s="257">
        <v>500</v>
      </c>
      <c r="Q109" s="257">
        <v>0</v>
      </c>
      <c r="R109" s="257">
        <f>P109+Q109</f>
        <v>500</v>
      </c>
      <c r="S109" s="257">
        <v>-500</v>
      </c>
      <c r="T109" s="257">
        <v>500</v>
      </c>
      <c r="U109" s="257">
        <v>-500</v>
      </c>
      <c r="V109" s="257">
        <f t="shared" ref="V109" si="147">T109+U109</f>
        <v>0</v>
      </c>
      <c r="W109" s="257">
        <v>0</v>
      </c>
      <c r="X109" s="257">
        <f t="shared" ref="X109" si="148">V109+W109</f>
        <v>0</v>
      </c>
      <c r="Y109" s="257">
        <v>0</v>
      </c>
      <c r="Z109" s="257">
        <f t="shared" ref="Z109" si="149">X109+Y109</f>
        <v>0</v>
      </c>
    </row>
    <row r="110" spans="1:26" ht="20.25" customHeight="1" x14ac:dyDescent="0.2">
      <c r="A110" s="462" t="s">
        <v>656</v>
      </c>
      <c r="B110" s="250" t="s">
        <v>73</v>
      </c>
      <c r="C110" s="250" t="s">
        <v>204</v>
      </c>
      <c r="D110" s="250" t="s">
        <v>192</v>
      </c>
      <c r="E110" s="253"/>
      <c r="F110" s="250"/>
      <c r="G110" s="275"/>
      <c r="H110" s="275">
        <f>H111</f>
        <v>80.099999999999994</v>
      </c>
      <c r="I110" s="275">
        <f>I111</f>
        <v>-80.099999999999994</v>
      </c>
      <c r="J110" s="275">
        <f>H110+I110</f>
        <v>0</v>
      </c>
      <c r="K110" s="275">
        <f>K111</f>
        <v>0</v>
      </c>
      <c r="L110" s="275">
        <f>I110+J110</f>
        <v>-80.099999999999994</v>
      </c>
      <c r="M110" s="275">
        <f>J110+K110</f>
        <v>0</v>
      </c>
      <c r="N110" s="275">
        <f>N111</f>
        <v>0</v>
      </c>
      <c r="O110" s="275">
        <f>O111</f>
        <v>0</v>
      </c>
      <c r="P110" s="275">
        <f t="shared" ref="P110:P111" si="150">M110+N110</f>
        <v>0</v>
      </c>
      <c r="Q110" s="275">
        <f t="shared" ref="Q110:Q111" si="151">N110+O110</f>
        <v>0</v>
      </c>
      <c r="R110" s="275">
        <f t="shared" ref="R110:R111" si="152">P110+Q110</f>
        <v>0</v>
      </c>
      <c r="S110" s="275">
        <f t="shared" ref="S110:Z110" si="153">S111</f>
        <v>300</v>
      </c>
      <c r="T110" s="275">
        <f t="shared" si="153"/>
        <v>0</v>
      </c>
      <c r="U110" s="275">
        <f t="shared" si="153"/>
        <v>500</v>
      </c>
      <c r="V110" s="275">
        <f t="shared" si="153"/>
        <v>500</v>
      </c>
      <c r="W110" s="275">
        <f t="shared" si="153"/>
        <v>0</v>
      </c>
      <c r="X110" s="275">
        <f t="shared" si="153"/>
        <v>500</v>
      </c>
      <c r="Y110" s="275">
        <f t="shared" si="153"/>
        <v>0</v>
      </c>
      <c r="Z110" s="275">
        <f t="shared" si="153"/>
        <v>500</v>
      </c>
    </row>
    <row r="111" spans="1:26" ht="20.25" customHeight="1" x14ac:dyDescent="0.2">
      <c r="A111" s="259" t="s">
        <v>502</v>
      </c>
      <c r="B111" s="252" t="s">
        <v>73</v>
      </c>
      <c r="C111" s="252" t="s">
        <v>204</v>
      </c>
      <c r="D111" s="252" t="s">
        <v>192</v>
      </c>
      <c r="E111" s="251" t="s">
        <v>756</v>
      </c>
      <c r="F111" s="252" t="s">
        <v>94</v>
      </c>
      <c r="G111" s="257"/>
      <c r="H111" s="257">
        <v>80.099999999999994</v>
      </c>
      <c r="I111" s="257">
        <v>-80.099999999999994</v>
      </c>
      <c r="J111" s="257">
        <f>H111+I111</f>
        <v>0</v>
      </c>
      <c r="K111" s="257">
        <v>0</v>
      </c>
      <c r="L111" s="257">
        <f>I111+J111</f>
        <v>-80.099999999999994</v>
      </c>
      <c r="M111" s="257">
        <f>J111+K111</f>
        <v>0</v>
      </c>
      <c r="N111" s="257">
        <v>0</v>
      </c>
      <c r="O111" s="257">
        <f>M111+N111</f>
        <v>0</v>
      </c>
      <c r="P111" s="257">
        <f t="shared" si="150"/>
        <v>0</v>
      </c>
      <c r="Q111" s="257">
        <f t="shared" si="151"/>
        <v>0</v>
      </c>
      <c r="R111" s="257">
        <f t="shared" si="152"/>
        <v>0</v>
      </c>
      <c r="S111" s="257">
        <v>300</v>
      </c>
      <c r="T111" s="257">
        <v>0</v>
      </c>
      <c r="U111" s="257">
        <v>500</v>
      </c>
      <c r="V111" s="257">
        <v>500</v>
      </c>
      <c r="W111" s="257">
        <v>0</v>
      </c>
      <c r="X111" s="257">
        <f t="shared" ref="X111" si="154">V111+W111</f>
        <v>500</v>
      </c>
      <c r="Y111" s="257">
        <v>0</v>
      </c>
      <c r="Z111" s="257">
        <f t="shared" ref="Z111" si="155">X111+Y111</f>
        <v>500</v>
      </c>
    </row>
    <row r="112" spans="1:26" s="428" customFormat="1" ht="19.5" customHeight="1" x14ac:dyDescent="0.2">
      <c r="A112" s="551" t="s">
        <v>911</v>
      </c>
      <c r="B112" s="551"/>
      <c r="C112" s="551"/>
      <c r="D112" s="551"/>
      <c r="E112" s="551"/>
      <c r="F112" s="551"/>
      <c r="G112" s="448" t="e">
        <f>G129+G312+G317</f>
        <v>#REF!</v>
      </c>
      <c r="H112" s="448" t="e">
        <f t="shared" ref="H112:W112" si="156">H129+H312</f>
        <v>#REF!</v>
      </c>
      <c r="I112" s="448" t="e">
        <f t="shared" si="156"/>
        <v>#REF!</v>
      </c>
      <c r="J112" s="448" t="e">
        <f t="shared" si="156"/>
        <v>#REF!</v>
      </c>
      <c r="K112" s="448" t="e">
        <f t="shared" si="156"/>
        <v>#REF!</v>
      </c>
      <c r="L112" s="448" t="e">
        <f t="shared" si="156"/>
        <v>#REF!</v>
      </c>
      <c r="M112" s="448" t="e">
        <f t="shared" si="156"/>
        <v>#REF!</v>
      </c>
      <c r="N112" s="448" t="e">
        <f t="shared" si="156"/>
        <v>#REF!</v>
      </c>
      <c r="O112" s="448" t="e">
        <f t="shared" si="156"/>
        <v>#REF!</v>
      </c>
      <c r="P112" s="448" t="e">
        <f t="shared" si="156"/>
        <v>#REF!</v>
      </c>
      <c r="Q112" s="448" t="e">
        <f t="shared" si="156"/>
        <v>#REF!</v>
      </c>
      <c r="R112" s="448" t="e">
        <f t="shared" si="156"/>
        <v>#REF!</v>
      </c>
      <c r="S112" s="448" t="e">
        <f t="shared" si="156"/>
        <v>#REF!</v>
      </c>
      <c r="T112" s="448" t="e">
        <f t="shared" si="156"/>
        <v>#REF!</v>
      </c>
      <c r="U112" s="448" t="e">
        <f t="shared" si="156"/>
        <v>#REF!</v>
      </c>
      <c r="V112" s="448" t="e">
        <f t="shared" si="156"/>
        <v>#REF!</v>
      </c>
      <c r="W112" s="448" t="e">
        <f t="shared" si="156"/>
        <v>#REF!</v>
      </c>
      <c r="X112" s="448">
        <f>X129+X312+X317</f>
        <v>414987.94725600001</v>
      </c>
      <c r="Y112" s="448">
        <f>Y129+Y312+Y317</f>
        <v>272214.19</v>
      </c>
      <c r="Z112" s="448">
        <f>Z129+Z312+Z317</f>
        <v>687202.13725600007</v>
      </c>
    </row>
    <row r="113" spans="1:26" s="430" customFormat="1" ht="12.75" hidden="1" customHeight="1" x14ac:dyDescent="0.2">
      <c r="A113" s="462" t="s">
        <v>72</v>
      </c>
      <c r="B113" s="250" t="s">
        <v>130</v>
      </c>
      <c r="C113" s="250" t="s">
        <v>190</v>
      </c>
      <c r="D113" s="250"/>
      <c r="E113" s="250"/>
      <c r="F113" s="250"/>
      <c r="G113" s="275"/>
      <c r="H113" s="275"/>
      <c r="I113" s="275"/>
      <c r="J113" s="275" t="e">
        <f>J114+J121</f>
        <v>#REF!</v>
      </c>
      <c r="K113" s="275"/>
      <c r="L113" s="275" t="e">
        <f>L114+L121</f>
        <v>#REF!</v>
      </c>
      <c r="M113" s="275">
        <f>M114+M121</f>
        <v>0</v>
      </c>
      <c r="N113" s="275" t="e">
        <f t="shared" ref="N113:R113" si="157">N114+N121</f>
        <v>#REF!</v>
      </c>
      <c r="O113" s="275">
        <f t="shared" si="157"/>
        <v>0</v>
      </c>
      <c r="P113" s="275" t="e">
        <f t="shared" si="157"/>
        <v>#REF!</v>
      </c>
      <c r="Q113" s="275">
        <f t="shared" si="157"/>
        <v>0</v>
      </c>
      <c r="R113" s="275" t="e">
        <f t="shared" si="157"/>
        <v>#REF!</v>
      </c>
      <c r="S113" s="275">
        <f t="shared" ref="S113:T113" si="158">S114+S121</f>
        <v>0</v>
      </c>
      <c r="T113" s="275" t="e">
        <f t="shared" si="158"/>
        <v>#REF!</v>
      </c>
      <c r="U113" s="275">
        <f t="shared" ref="U113:V113" si="159">U114+U121</f>
        <v>0</v>
      </c>
      <c r="V113" s="275" t="e">
        <f t="shared" si="159"/>
        <v>#REF!</v>
      </c>
      <c r="W113" s="275">
        <f t="shared" ref="W113:X113" si="160">W114+W121</f>
        <v>0</v>
      </c>
      <c r="X113" s="275" t="e">
        <f t="shared" si="160"/>
        <v>#REF!</v>
      </c>
      <c r="Y113" s="275">
        <f t="shared" ref="Y113:Z113" si="161">Y114+Y121</f>
        <v>0</v>
      </c>
      <c r="Z113" s="275" t="e">
        <f t="shared" si="161"/>
        <v>#REF!</v>
      </c>
    </row>
    <row r="114" spans="1:26" ht="25.5" hidden="1" customHeight="1" x14ac:dyDescent="0.2">
      <c r="A114" s="462" t="s">
        <v>368</v>
      </c>
      <c r="B114" s="250" t="s">
        <v>130</v>
      </c>
      <c r="C114" s="250" t="s">
        <v>190</v>
      </c>
      <c r="D114" s="250" t="s">
        <v>205</v>
      </c>
      <c r="E114" s="250"/>
      <c r="F114" s="250"/>
      <c r="G114" s="257"/>
      <c r="H114" s="257"/>
      <c r="I114" s="257"/>
      <c r="J114" s="257" t="e">
        <f>J115</f>
        <v>#REF!</v>
      </c>
      <c r="K114" s="257"/>
      <c r="L114" s="257" t="e">
        <f>L115</f>
        <v>#REF!</v>
      </c>
      <c r="M114" s="257">
        <f>M115</f>
        <v>0</v>
      </c>
      <c r="N114" s="257" t="e">
        <f t="shared" ref="N114:Z115" si="162">N115</f>
        <v>#REF!</v>
      </c>
      <c r="O114" s="257">
        <f t="shared" si="162"/>
        <v>0</v>
      </c>
      <c r="P114" s="257" t="e">
        <f t="shared" si="162"/>
        <v>#REF!</v>
      </c>
      <c r="Q114" s="257">
        <f t="shared" si="162"/>
        <v>0</v>
      </c>
      <c r="R114" s="257" t="e">
        <f t="shared" si="162"/>
        <v>#REF!</v>
      </c>
      <c r="S114" s="257">
        <f t="shared" si="162"/>
        <v>0</v>
      </c>
      <c r="T114" s="257" t="e">
        <f t="shared" si="162"/>
        <v>#REF!</v>
      </c>
      <c r="U114" s="257">
        <f t="shared" si="162"/>
        <v>0</v>
      </c>
      <c r="V114" s="257" t="e">
        <f t="shared" si="162"/>
        <v>#REF!</v>
      </c>
      <c r="W114" s="257">
        <f t="shared" si="162"/>
        <v>0</v>
      </c>
      <c r="X114" s="257" t="e">
        <f t="shared" si="162"/>
        <v>#REF!</v>
      </c>
      <c r="Y114" s="257">
        <f t="shared" si="162"/>
        <v>0</v>
      </c>
      <c r="Z114" s="257" t="e">
        <f t="shared" si="162"/>
        <v>#REF!</v>
      </c>
    </row>
    <row r="115" spans="1:26" ht="12.75" hidden="1" customHeight="1" x14ac:dyDescent="0.2">
      <c r="A115" s="259" t="s">
        <v>324</v>
      </c>
      <c r="B115" s="252" t="s">
        <v>130</v>
      </c>
      <c r="C115" s="252" t="s">
        <v>190</v>
      </c>
      <c r="D115" s="252" t="s">
        <v>205</v>
      </c>
      <c r="E115" s="252" t="s">
        <v>325</v>
      </c>
      <c r="F115" s="252"/>
      <c r="G115" s="257"/>
      <c r="H115" s="257"/>
      <c r="I115" s="257"/>
      <c r="J115" s="257" t="e">
        <f>J116</f>
        <v>#REF!</v>
      </c>
      <c r="K115" s="257"/>
      <c r="L115" s="257" t="e">
        <f>L116</f>
        <v>#REF!</v>
      </c>
      <c r="M115" s="257">
        <f>M116</f>
        <v>0</v>
      </c>
      <c r="N115" s="257" t="e">
        <f t="shared" si="162"/>
        <v>#REF!</v>
      </c>
      <c r="O115" s="257">
        <f t="shared" si="162"/>
        <v>0</v>
      </c>
      <c r="P115" s="257" t="e">
        <f t="shared" si="162"/>
        <v>#REF!</v>
      </c>
      <c r="Q115" s="257">
        <f t="shared" si="162"/>
        <v>0</v>
      </c>
      <c r="R115" s="257" t="e">
        <f t="shared" si="162"/>
        <v>#REF!</v>
      </c>
      <c r="S115" s="257">
        <f t="shared" si="162"/>
        <v>0</v>
      </c>
      <c r="T115" s="257" t="e">
        <f t="shared" si="162"/>
        <v>#REF!</v>
      </c>
      <c r="U115" s="257">
        <f t="shared" si="162"/>
        <v>0</v>
      </c>
      <c r="V115" s="257" t="e">
        <f t="shared" si="162"/>
        <v>#REF!</v>
      </c>
      <c r="W115" s="257">
        <f t="shared" si="162"/>
        <v>0</v>
      </c>
      <c r="X115" s="257" t="e">
        <f t="shared" si="162"/>
        <v>#REF!</v>
      </c>
      <c r="Y115" s="257">
        <f t="shared" si="162"/>
        <v>0</v>
      </c>
      <c r="Z115" s="257" t="e">
        <f t="shared" si="162"/>
        <v>#REF!</v>
      </c>
    </row>
    <row r="116" spans="1:26" ht="51" hidden="1" customHeight="1" x14ac:dyDescent="0.2">
      <c r="A116" s="259" t="s">
        <v>999</v>
      </c>
      <c r="B116" s="252" t="s">
        <v>130</v>
      </c>
      <c r="C116" s="252" t="s">
        <v>190</v>
      </c>
      <c r="D116" s="252" t="s">
        <v>205</v>
      </c>
      <c r="E116" s="252" t="s">
        <v>369</v>
      </c>
      <c r="F116" s="252"/>
      <c r="G116" s="257"/>
      <c r="H116" s="257"/>
      <c r="I116" s="257"/>
      <c r="J116" s="257" t="e">
        <f>J117+J119+J118</f>
        <v>#REF!</v>
      </c>
      <c r="K116" s="257"/>
      <c r="L116" s="257" t="e">
        <f>L117+L119+L118</f>
        <v>#REF!</v>
      </c>
      <c r="M116" s="257">
        <f>M117+M119+M118</f>
        <v>0</v>
      </c>
      <c r="N116" s="257" t="e">
        <f t="shared" ref="N116:R116" si="163">N117+N119+N118</f>
        <v>#REF!</v>
      </c>
      <c r="O116" s="257">
        <f t="shared" si="163"/>
        <v>0</v>
      </c>
      <c r="P116" s="257" t="e">
        <f t="shared" si="163"/>
        <v>#REF!</v>
      </c>
      <c r="Q116" s="257">
        <f t="shared" si="163"/>
        <v>0</v>
      </c>
      <c r="R116" s="257" t="e">
        <f t="shared" si="163"/>
        <v>#REF!</v>
      </c>
      <c r="S116" s="257">
        <f t="shared" ref="S116:T116" si="164">S117+S119+S118</f>
        <v>0</v>
      </c>
      <c r="T116" s="257" t="e">
        <f t="shared" si="164"/>
        <v>#REF!</v>
      </c>
      <c r="U116" s="257">
        <f t="shared" ref="U116:V116" si="165">U117+U119+U118</f>
        <v>0</v>
      </c>
      <c r="V116" s="257" t="e">
        <f t="shared" si="165"/>
        <v>#REF!</v>
      </c>
      <c r="W116" s="257">
        <f t="shared" ref="W116:X116" si="166">W117+W119+W118</f>
        <v>0</v>
      </c>
      <c r="X116" s="257" t="e">
        <f t="shared" si="166"/>
        <v>#REF!</v>
      </c>
      <c r="Y116" s="257">
        <f t="shared" ref="Y116:Z116" si="167">Y117+Y119+Y118</f>
        <v>0</v>
      </c>
      <c r="Z116" s="257" t="e">
        <f t="shared" si="167"/>
        <v>#REF!</v>
      </c>
    </row>
    <row r="117" spans="1:26" ht="12.75" hidden="1" customHeight="1" x14ac:dyDescent="0.2">
      <c r="A117" s="259" t="s">
        <v>300</v>
      </c>
      <c r="B117" s="252" t="s">
        <v>130</v>
      </c>
      <c r="C117" s="252" t="s">
        <v>190</v>
      </c>
      <c r="D117" s="252" t="s">
        <v>205</v>
      </c>
      <c r="E117" s="252" t="s">
        <v>369</v>
      </c>
      <c r="F117" s="252" t="s">
        <v>301</v>
      </c>
      <c r="G117" s="257"/>
      <c r="H117" s="257"/>
      <c r="I117" s="257"/>
      <c r="J117" s="257" t="e">
        <f>#REF!+I117</f>
        <v>#REF!</v>
      </c>
      <c r="K117" s="257"/>
      <c r="L117" s="257" t="e">
        <f>F117+J117</f>
        <v>#REF!</v>
      </c>
      <c r="M117" s="257">
        <f>G117+K117</f>
        <v>0</v>
      </c>
      <c r="N117" s="257" t="e">
        <f t="shared" ref="N117:O118" si="168">H117+L117</f>
        <v>#REF!</v>
      </c>
      <c r="O117" s="257">
        <f t="shared" si="168"/>
        <v>0</v>
      </c>
      <c r="P117" s="257" t="e">
        <f>J117+N117</f>
        <v>#REF!</v>
      </c>
      <c r="Q117" s="257">
        <f t="shared" ref="Q117:R118" si="169">K117+O117</f>
        <v>0</v>
      </c>
      <c r="R117" s="257" t="e">
        <f t="shared" si="169"/>
        <v>#REF!</v>
      </c>
      <c r="S117" s="257">
        <f t="shared" ref="S117:S118" si="170">M117+Q117</f>
        <v>0</v>
      </c>
      <c r="T117" s="257" t="e">
        <f t="shared" ref="T117:T118" si="171">N117+R117</f>
        <v>#REF!</v>
      </c>
      <c r="U117" s="257">
        <f t="shared" ref="U117:U118" si="172">O117+S117</f>
        <v>0</v>
      </c>
      <c r="V117" s="257" t="e">
        <f t="shared" ref="V117:V118" si="173">P117+T117</f>
        <v>#REF!</v>
      </c>
      <c r="W117" s="257">
        <f t="shared" ref="W117:W118" si="174">Q117+U117</f>
        <v>0</v>
      </c>
      <c r="X117" s="257" t="e">
        <f t="shared" ref="X117:X118" si="175">R117+V117</f>
        <v>#REF!</v>
      </c>
      <c r="Y117" s="257">
        <f t="shared" ref="Y117:Y118" si="176">S117+W117</f>
        <v>0</v>
      </c>
      <c r="Z117" s="257" t="e">
        <f t="shared" ref="Z117:Z118" si="177">T117+X117</f>
        <v>#REF!</v>
      </c>
    </row>
    <row r="118" spans="1:26" ht="12.75" hidden="1" customHeight="1" x14ac:dyDescent="0.2">
      <c r="A118" s="259" t="s">
        <v>302</v>
      </c>
      <c r="B118" s="252" t="s">
        <v>130</v>
      </c>
      <c r="C118" s="252" t="s">
        <v>190</v>
      </c>
      <c r="D118" s="252" t="s">
        <v>205</v>
      </c>
      <c r="E118" s="252" t="s">
        <v>369</v>
      </c>
      <c r="F118" s="252" t="s">
        <v>303</v>
      </c>
      <c r="G118" s="257"/>
      <c r="H118" s="257"/>
      <c r="I118" s="257"/>
      <c r="J118" s="257" t="e">
        <f>#REF!+I118</f>
        <v>#REF!</v>
      </c>
      <c r="K118" s="257"/>
      <c r="L118" s="257" t="e">
        <f>F118+J118</f>
        <v>#REF!</v>
      </c>
      <c r="M118" s="257">
        <f>G118+K118</f>
        <v>0</v>
      </c>
      <c r="N118" s="257" t="e">
        <f t="shared" si="168"/>
        <v>#REF!</v>
      </c>
      <c r="O118" s="257">
        <f t="shared" si="168"/>
        <v>0</v>
      </c>
      <c r="P118" s="257" t="e">
        <f>J118+N118</f>
        <v>#REF!</v>
      </c>
      <c r="Q118" s="257">
        <f t="shared" si="169"/>
        <v>0</v>
      </c>
      <c r="R118" s="257" t="e">
        <f t="shared" si="169"/>
        <v>#REF!</v>
      </c>
      <c r="S118" s="257">
        <f t="shared" si="170"/>
        <v>0</v>
      </c>
      <c r="T118" s="257" t="e">
        <f t="shared" si="171"/>
        <v>#REF!</v>
      </c>
      <c r="U118" s="257">
        <f t="shared" si="172"/>
        <v>0</v>
      </c>
      <c r="V118" s="257" t="e">
        <f t="shared" si="173"/>
        <v>#REF!</v>
      </c>
      <c r="W118" s="257">
        <f t="shared" si="174"/>
        <v>0</v>
      </c>
      <c r="X118" s="257" t="e">
        <f t="shared" si="175"/>
        <v>#REF!</v>
      </c>
      <c r="Y118" s="257">
        <f t="shared" si="176"/>
        <v>0</v>
      </c>
      <c r="Z118" s="257" t="e">
        <f t="shared" si="177"/>
        <v>#REF!</v>
      </c>
    </row>
    <row r="119" spans="1:26" ht="25.5" hidden="1" customHeight="1" x14ac:dyDescent="0.2">
      <c r="A119" s="259" t="s">
        <v>147</v>
      </c>
      <c r="B119" s="252" t="s">
        <v>130</v>
      </c>
      <c r="C119" s="252" t="s">
        <v>190</v>
      </c>
      <c r="D119" s="252" t="s">
        <v>205</v>
      </c>
      <c r="E119" s="252" t="s">
        <v>370</v>
      </c>
      <c r="F119" s="252"/>
      <c r="G119" s="257"/>
      <c r="H119" s="257"/>
      <c r="I119" s="257"/>
      <c r="J119" s="257" t="e">
        <f>J120</f>
        <v>#REF!</v>
      </c>
      <c r="K119" s="257"/>
      <c r="L119" s="257" t="e">
        <f>L120</f>
        <v>#REF!</v>
      </c>
      <c r="M119" s="257">
        <f>M120</f>
        <v>0</v>
      </c>
      <c r="N119" s="257" t="e">
        <f t="shared" ref="N119:Z119" si="178">N120</f>
        <v>#REF!</v>
      </c>
      <c r="O119" s="257">
        <f t="shared" si="178"/>
        <v>0</v>
      </c>
      <c r="P119" s="257" t="e">
        <f t="shared" si="178"/>
        <v>#REF!</v>
      </c>
      <c r="Q119" s="257">
        <f t="shared" si="178"/>
        <v>0</v>
      </c>
      <c r="R119" s="257" t="e">
        <f t="shared" si="178"/>
        <v>#REF!</v>
      </c>
      <c r="S119" s="257">
        <f t="shared" si="178"/>
        <v>0</v>
      </c>
      <c r="T119" s="257" t="e">
        <f t="shared" si="178"/>
        <v>#REF!</v>
      </c>
      <c r="U119" s="257">
        <f t="shared" si="178"/>
        <v>0</v>
      </c>
      <c r="V119" s="257" t="e">
        <f t="shared" si="178"/>
        <v>#REF!</v>
      </c>
      <c r="W119" s="257">
        <f t="shared" si="178"/>
        <v>0</v>
      </c>
      <c r="X119" s="257" t="e">
        <f t="shared" si="178"/>
        <v>#REF!</v>
      </c>
      <c r="Y119" s="257">
        <f t="shared" si="178"/>
        <v>0</v>
      </c>
      <c r="Z119" s="257" t="e">
        <f t="shared" si="178"/>
        <v>#REF!</v>
      </c>
    </row>
    <row r="120" spans="1:26" ht="12.75" hidden="1" customHeight="1" x14ac:dyDescent="0.2">
      <c r="A120" s="259" t="s">
        <v>300</v>
      </c>
      <c r="B120" s="252" t="s">
        <v>130</v>
      </c>
      <c r="C120" s="252" t="s">
        <v>190</v>
      </c>
      <c r="D120" s="252" t="s">
        <v>205</v>
      </c>
      <c r="E120" s="252" t="s">
        <v>370</v>
      </c>
      <c r="F120" s="252" t="s">
        <v>301</v>
      </c>
      <c r="G120" s="257"/>
      <c r="H120" s="257"/>
      <c r="I120" s="257"/>
      <c r="J120" s="257" t="e">
        <f>#REF!+I120</f>
        <v>#REF!</v>
      </c>
      <c r="K120" s="257"/>
      <c r="L120" s="257" t="e">
        <f>F120+J120</f>
        <v>#REF!</v>
      </c>
      <c r="M120" s="257">
        <f>G120+K120</f>
        <v>0</v>
      </c>
      <c r="N120" s="257" t="e">
        <f t="shared" ref="N120:O120" si="179">H120+L120</f>
        <v>#REF!</v>
      </c>
      <c r="O120" s="257">
        <f t="shared" si="179"/>
        <v>0</v>
      </c>
      <c r="P120" s="257" t="e">
        <f>J120+N120</f>
        <v>#REF!</v>
      </c>
      <c r="Q120" s="257">
        <f t="shared" ref="Q120:R120" si="180">K120+O120</f>
        <v>0</v>
      </c>
      <c r="R120" s="257" t="e">
        <f t="shared" si="180"/>
        <v>#REF!</v>
      </c>
      <c r="S120" s="257">
        <f t="shared" ref="S120" si="181">M120+Q120</f>
        <v>0</v>
      </c>
      <c r="T120" s="257" t="e">
        <f t="shared" ref="T120" si="182">N120+R120</f>
        <v>#REF!</v>
      </c>
      <c r="U120" s="257">
        <f t="shared" ref="U120" si="183">O120+S120</f>
        <v>0</v>
      </c>
      <c r="V120" s="257" t="e">
        <f t="shared" ref="V120" si="184">P120+T120</f>
        <v>#REF!</v>
      </c>
      <c r="W120" s="257">
        <f t="shared" ref="W120" si="185">Q120+U120</f>
        <v>0</v>
      </c>
      <c r="X120" s="257" t="e">
        <f t="shared" ref="X120" si="186">R120+V120</f>
        <v>#REF!</v>
      </c>
      <c r="Y120" s="257">
        <f t="shared" ref="Y120" si="187">S120+W120</f>
        <v>0</v>
      </c>
      <c r="Z120" s="257" t="e">
        <f t="shared" ref="Z120" si="188">T120+X120</f>
        <v>#REF!</v>
      </c>
    </row>
    <row r="121" spans="1:26" ht="12.75" hidden="1" customHeight="1" x14ac:dyDescent="0.2">
      <c r="A121" s="462" t="s">
        <v>206</v>
      </c>
      <c r="B121" s="250" t="s">
        <v>130</v>
      </c>
      <c r="C121" s="250" t="s">
        <v>190</v>
      </c>
      <c r="D121" s="250" t="s">
        <v>207</v>
      </c>
      <c r="E121" s="252"/>
      <c r="F121" s="252"/>
      <c r="G121" s="257"/>
      <c r="H121" s="257"/>
      <c r="I121" s="257"/>
      <c r="J121" s="257" t="e">
        <f>J122</f>
        <v>#REF!</v>
      </c>
      <c r="K121" s="257"/>
      <c r="L121" s="257" t="e">
        <f>L122</f>
        <v>#REF!</v>
      </c>
      <c r="M121" s="257">
        <f>M122</f>
        <v>0</v>
      </c>
      <c r="N121" s="257" t="e">
        <f t="shared" ref="N121:Z122" si="189">N122</f>
        <v>#REF!</v>
      </c>
      <c r="O121" s="257">
        <f t="shared" si="189"/>
        <v>0</v>
      </c>
      <c r="P121" s="257" t="e">
        <f t="shared" si="189"/>
        <v>#REF!</v>
      </c>
      <c r="Q121" s="257">
        <f t="shared" si="189"/>
        <v>0</v>
      </c>
      <c r="R121" s="257" t="e">
        <f t="shared" si="189"/>
        <v>#REF!</v>
      </c>
      <c r="S121" s="257">
        <f t="shared" si="189"/>
        <v>0</v>
      </c>
      <c r="T121" s="257" t="e">
        <f t="shared" si="189"/>
        <v>#REF!</v>
      </c>
      <c r="U121" s="257">
        <f t="shared" si="189"/>
        <v>0</v>
      </c>
      <c r="V121" s="257" t="e">
        <f t="shared" si="189"/>
        <v>#REF!</v>
      </c>
      <c r="W121" s="257">
        <f t="shared" si="189"/>
        <v>0</v>
      </c>
      <c r="X121" s="257" t="e">
        <f t="shared" si="189"/>
        <v>#REF!</v>
      </c>
      <c r="Y121" s="257">
        <f t="shared" si="189"/>
        <v>0</v>
      </c>
      <c r="Z121" s="257" t="e">
        <f t="shared" si="189"/>
        <v>#REF!</v>
      </c>
    </row>
    <row r="122" spans="1:26" ht="25.5" hidden="1" customHeight="1" x14ac:dyDescent="0.2">
      <c r="A122" s="266" t="s">
        <v>371</v>
      </c>
      <c r="B122" s="252" t="s">
        <v>130</v>
      </c>
      <c r="C122" s="252" t="s">
        <v>190</v>
      </c>
      <c r="D122" s="252" t="s">
        <v>207</v>
      </c>
      <c r="E122" s="252" t="s">
        <v>372</v>
      </c>
      <c r="F122" s="252"/>
      <c r="G122" s="257"/>
      <c r="H122" s="257"/>
      <c r="I122" s="257"/>
      <c r="J122" s="257" t="e">
        <f>J123</f>
        <v>#REF!</v>
      </c>
      <c r="K122" s="257"/>
      <c r="L122" s="257" t="e">
        <f>L123</f>
        <v>#REF!</v>
      </c>
      <c r="M122" s="257">
        <f>M123</f>
        <v>0</v>
      </c>
      <c r="N122" s="257" t="e">
        <f t="shared" si="189"/>
        <v>#REF!</v>
      </c>
      <c r="O122" s="257">
        <f t="shared" si="189"/>
        <v>0</v>
      </c>
      <c r="P122" s="257" t="e">
        <f t="shared" si="189"/>
        <v>#REF!</v>
      </c>
      <c r="Q122" s="257">
        <f t="shared" si="189"/>
        <v>0</v>
      </c>
      <c r="R122" s="257" t="e">
        <f t="shared" si="189"/>
        <v>#REF!</v>
      </c>
      <c r="S122" s="257">
        <f t="shared" si="189"/>
        <v>0</v>
      </c>
      <c r="T122" s="257" t="e">
        <f t="shared" si="189"/>
        <v>#REF!</v>
      </c>
      <c r="U122" s="257">
        <f t="shared" si="189"/>
        <v>0</v>
      </c>
      <c r="V122" s="257" t="e">
        <f t="shared" si="189"/>
        <v>#REF!</v>
      </c>
      <c r="W122" s="257">
        <f t="shared" si="189"/>
        <v>0</v>
      </c>
      <c r="X122" s="257" t="e">
        <f t="shared" si="189"/>
        <v>#REF!</v>
      </c>
      <c r="Y122" s="257">
        <f t="shared" si="189"/>
        <v>0</v>
      </c>
      <c r="Z122" s="257" t="e">
        <f t="shared" si="189"/>
        <v>#REF!</v>
      </c>
    </row>
    <row r="123" spans="1:26" ht="12.75" hidden="1" customHeight="1" x14ac:dyDescent="0.2">
      <c r="A123" s="259" t="s">
        <v>320</v>
      </c>
      <c r="B123" s="252" t="s">
        <v>130</v>
      </c>
      <c r="C123" s="252" t="s">
        <v>190</v>
      </c>
      <c r="D123" s="252" t="s">
        <v>207</v>
      </c>
      <c r="E123" s="252" t="s">
        <v>372</v>
      </c>
      <c r="F123" s="252" t="s">
        <v>321</v>
      </c>
      <c r="G123" s="257"/>
      <c r="H123" s="257"/>
      <c r="I123" s="257"/>
      <c r="J123" s="257" t="e">
        <f>#REF!+I123</f>
        <v>#REF!</v>
      </c>
      <c r="K123" s="257"/>
      <c r="L123" s="257" t="e">
        <f>F123+J123</f>
        <v>#REF!</v>
      </c>
      <c r="M123" s="257">
        <f>G123+K123</f>
        <v>0</v>
      </c>
      <c r="N123" s="257" t="e">
        <f t="shared" ref="N123:O123" si="190">H123+L123</f>
        <v>#REF!</v>
      </c>
      <c r="O123" s="257">
        <f t="shared" si="190"/>
        <v>0</v>
      </c>
      <c r="P123" s="257" t="e">
        <f>J123+N123</f>
        <v>#REF!</v>
      </c>
      <c r="Q123" s="257">
        <f t="shared" ref="Q123:R123" si="191">K123+O123</f>
        <v>0</v>
      </c>
      <c r="R123" s="257" t="e">
        <f t="shared" si="191"/>
        <v>#REF!</v>
      </c>
      <c r="S123" s="257">
        <f t="shared" ref="S123" si="192">M123+Q123</f>
        <v>0</v>
      </c>
      <c r="T123" s="257" t="e">
        <f t="shared" ref="T123" si="193">N123+R123</f>
        <v>#REF!</v>
      </c>
      <c r="U123" s="257">
        <f t="shared" ref="U123" si="194">O123+S123</f>
        <v>0</v>
      </c>
      <c r="V123" s="257" t="e">
        <f t="shared" ref="V123" si="195">P123+T123</f>
        <v>#REF!</v>
      </c>
      <c r="W123" s="257">
        <f t="shared" ref="W123" si="196">Q123+U123</f>
        <v>0</v>
      </c>
      <c r="X123" s="257" t="e">
        <f t="shared" ref="X123" si="197">R123+V123</f>
        <v>#REF!</v>
      </c>
      <c r="Y123" s="257">
        <f t="shared" ref="Y123" si="198">S123+W123</f>
        <v>0</v>
      </c>
      <c r="Z123" s="257" t="e">
        <f t="shared" ref="Z123" si="199">T123+X123</f>
        <v>#REF!</v>
      </c>
    </row>
    <row r="124" spans="1:26" s="430" customFormat="1" ht="12.75" hidden="1" customHeight="1" x14ac:dyDescent="0.2">
      <c r="A124" s="462" t="s">
        <v>72</v>
      </c>
      <c r="B124" s="250" t="s">
        <v>130</v>
      </c>
      <c r="C124" s="250" t="s">
        <v>190</v>
      </c>
      <c r="D124" s="250"/>
      <c r="E124" s="249"/>
      <c r="F124" s="249"/>
      <c r="G124" s="275"/>
      <c r="H124" s="275"/>
      <c r="I124" s="275"/>
      <c r="J124" s="275" t="e">
        <f>J125</f>
        <v>#REF!</v>
      </c>
      <c r="K124" s="275"/>
      <c r="L124" s="275" t="e">
        <f t="shared" ref="L124:Z127" si="200">L125</f>
        <v>#REF!</v>
      </c>
      <c r="M124" s="275">
        <f t="shared" si="200"/>
        <v>0</v>
      </c>
      <c r="N124" s="275" t="e">
        <f t="shared" si="200"/>
        <v>#REF!</v>
      </c>
      <c r="O124" s="275">
        <f t="shared" si="200"/>
        <v>0</v>
      </c>
      <c r="P124" s="275" t="e">
        <f t="shared" si="200"/>
        <v>#REF!</v>
      </c>
      <c r="Q124" s="275">
        <f t="shared" si="200"/>
        <v>0</v>
      </c>
      <c r="R124" s="275" t="e">
        <f t="shared" si="200"/>
        <v>#REF!</v>
      </c>
      <c r="S124" s="275">
        <f t="shared" si="200"/>
        <v>0</v>
      </c>
      <c r="T124" s="275" t="e">
        <f t="shared" si="200"/>
        <v>#REF!</v>
      </c>
      <c r="U124" s="275">
        <f t="shared" si="200"/>
        <v>0</v>
      </c>
      <c r="V124" s="275" t="e">
        <f t="shared" si="200"/>
        <v>#REF!</v>
      </c>
      <c r="W124" s="275">
        <f t="shared" si="200"/>
        <v>0</v>
      </c>
      <c r="X124" s="275" t="e">
        <f t="shared" si="200"/>
        <v>#REF!</v>
      </c>
      <c r="Y124" s="275">
        <f t="shared" si="200"/>
        <v>0</v>
      </c>
      <c r="Z124" s="275" t="e">
        <f t="shared" si="200"/>
        <v>#REF!</v>
      </c>
    </row>
    <row r="125" spans="1:26" ht="12.75" hidden="1" customHeight="1" x14ac:dyDescent="0.2">
      <c r="A125" s="462" t="s">
        <v>206</v>
      </c>
      <c r="B125" s="250" t="s">
        <v>130</v>
      </c>
      <c r="C125" s="250" t="s">
        <v>190</v>
      </c>
      <c r="D125" s="250" t="s">
        <v>207</v>
      </c>
      <c r="E125" s="249"/>
      <c r="F125" s="249"/>
      <c r="G125" s="257"/>
      <c r="H125" s="257"/>
      <c r="I125" s="257"/>
      <c r="J125" s="257" t="e">
        <f>J126</f>
        <v>#REF!</v>
      </c>
      <c r="K125" s="257"/>
      <c r="L125" s="257" t="e">
        <f t="shared" si="200"/>
        <v>#REF!</v>
      </c>
      <c r="M125" s="257">
        <f t="shared" si="200"/>
        <v>0</v>
      </c>
      <c r="N125" s="257" t="e">
        <f t="shared" si="200"/>
        <v>#REF!</v>
      </c>
      <c r="O125" s="257">
        <f t="shared" si="200"/>
        <v>0</v>
      </c>
      <c r="P125" s="257" t="e">
        <f t="shared" si="200"/>
        <v>#REF!</v>
      </c>
      <c r="Q125" s="257">
        <f t="shared" si="200"/>
        <v>0</v>
      </c>
      <c r="R125" s="257" t="e">
        <f t="shared" si="200"/>
        <v>#REF!</v>
      </c>
      <c r="S125" s="257">
        <f t="shared" si="200"/>
        <v>0</v>
      </c>
      <c r="T125" s="257" t="e">
        <f t="shared" si="200"/>
        <v>#REF!</v>
      </c>
      <c r="U125" s="257">
        <f t="shared" si="200"/>
        <v>0</v>
      </c>
      <c r="V125" s="257" t="e">
        <f t="shared" si="200"/>
        <v>#REF!</v>
      </c>
      <c r="W125" s="257">
        <f t="shared" si="200"/>
        <v>0</v>
      </c>
      <c r="X125" s="257" t="e">
        <f t="shared" si="200"/>
        <v>#REF!</v>
      </c>
      <c r="Y125" s="257">
        <f t="shared" si="200"/>
        <v>0</v>
      </c>
      <c r="Z125" s="257" t="e">
        <f t="shared" si="200"/>
        <v>#REF!</v>
      </c>
    </row>
    <row r="126" spans="1:26" ht="12.75" hidden="1" customHeight="1" x14ac:dyDescent="0.2">
      <c r="A126" s="259" t="s">
        <v>61</v>
      </c>
      <c r="B126" s="252" t="s">
        <v>130</v>
      </c>
      <c r="C126" s="252" t="s">
        <v>190</v>
      </c>
      <c r="D126" s="252" t="s">
        <v>207</v>
      </c>
      <c r="E126" s="251" t="s">
        <v>62</v>
      </c>
      <c r="F126" s="252"/>
      <c r="G126" s="257"/>
      <c r="H126" s="257"/>
      <c r="I126" s="257"/>
      <c r="J126" s="257" t="e">
        <f>J127</f>
        <v>#REF!</v>
      </c>
      <c r="K126" s="257"/>
      <c r="L126" s="257" t="e">
        <f t="shared" si="200"/>
        <v>#REF!</v>
      </c>
      <c r="M126" s="257">
        <f t="shared" si="200"/>
        <v>0</v>
      </c>
      <c r="N126" s="257" t="e">
        <f t="shared" si="200"/>
        <v>#REF!</v>
      </c>
      <c r="O126" s="257">
        <f t="shared" si="200"/>
        <v>0</v>
      </c>
      <c r="P126" s="257" t="e">
        <f t="shared" si="200"/>
        <v>#REF!</v>
      </c>
      <c r="Q126" s="257">
        <f t="shared" si="200"/>
        <v>0</v>
      </c>
      <c r="R126" s="257" t="e">
        <f t="shared" si="200"/>
        <v>#REF!</v>
      </c>
      <c r="S126" s="257">
        <f t="shared" si="200"/>
        <v>0</v>
      </c>
      <c r="T126" s="257" t="e">
        <f t="shared" si="200"/>
        <v>#REF!</v>
      </c>
      <c r="U126" s="257">
        <f t="shared" si="200"/>
        <v>0</v>
      </c>
      <c r="V126" s="257" t="e">
        <f t="shared" si="200"/>
        <v>#REF!</v>
      </c>
      <c r="W126" s="257">
        <f t="shared" si="200"/>
        <v>0</v>
      </c>
      <c r="X126" s="257" t="e">
        <f t="shared" si="200"/>
        <v>#REF!</v>
      </c>
      <c r="Y126" s="257">
        <f t="shared" si="200"/>
        <v>0</v>
      </c>
      <c r="Z126" s="257" t="e">
        <f t="shared" si="200"/>
        <v>#REF!</v>
      </c>
    </row>
    <row r="127" spans="1:26" ht="25.5" hidden="1" customHeight="1" x14ac:dyDescent="0.2">
      <c r="A127" s="259" t="s">
        <v>135</v>
      </c>
      <c r="B127" s="252" t="s">
        <v>130</v>
      </c>
      <c r="C127" s="252" t="s">
        <v>190</v>
      </c>
      <c r="D127" s="252" t="s">
        <v>207</v>
      </c>
      <c r="E127" s="251" t="s">
        <v>134</v>
      </c>
      <c r="F127" s="252"/>
      <c r="G127" s="257"/>
      <c r="H127" s="257"/>
      <c r="I127" s="257"/>
      <c r="J127" s="257" t="e">
        <f>J128</f>
        <v>#REF!</v>
      </c>
      <c r="K127" s="257"/>
      <c r="L127" s="257" t="e">
        <f t="shared" si="200"/>
        <v>#REF!</v>
      </c>
      <c r="M127" s="257">
        <f t="shared" si="200"/>
        <v>0</v>
      </c>
      <c r="N127" s="257" t="e">
        <f t="shared" si="200"/>
        <v>#REF!</v>
      </c>
      <c r="O127" s="257">
        <f t="shared" si="200"/>
        <v>0</v>
      </c>
      <c r="P127" s="257" t="e">
        <f t="shared" si="200"/>
        <v>#REF!</v>
      </c>
      <c r="Q127" s="257">
        <f t="shared" si="200"/>
        <v>0</v>
      </c>
      <c r="R127" s="257" t="e">
        <f t="shared" si="200"/>
        <v>#REF!</v>
      </c>
      <c r="S127" s="257">
        <f t="shared" si="200"/>
        <v>0</v>
      </c>
      <c r="T127" s="257" t="e">
        <f t="shared" si="200"/>
        <v>#REF!</v>
      </c>
      <c r="U127" s="257">
        <f t="shared" si="200"/>
        <v>0</v>
      </c>
      <c r="V127" s="257" t="e">
        <f t="shared" si="200"/>
        <v>#REF!</v>
      </c>
      <c r="W127" s="257">
        <f t="shared" si="200"/>
        <v>0</v>
      </c>
      <c r="X127" s="257" t="e">
        <f t="shared" si="200"/>
        <v>#REF!</v>
      </c>
      <c r="Y127" s="257">
        <f t="shared" si="200"/>
        <v>0</v>
      </c>
      <c r="Z127" s="257" t="e">
        <f t="shared" si="200"/>
        <v>#REF!</v>
      </c>
    </row>
    <row r="128" spans="1:26" ht="38.25" hidden="1" customHeight="1" x14ac:dyDescent="0.2">
      <c r="A128" s="259" t="s">
        <v>76</v>
      </c>
      <c r="B128" s="252" t="s">
        <v>130</v>
      </c>
      <c r="C128" s="252" t="s">
        <v>190</v>
      </c>
      <c r="D128" s="252" t="s">
        <v>207</v>
      </c>
      <c r="E128" s="251" t="s">
        <v>134</v>
      </c>
      <c r="F128" s="252" t="s">
        <v>77</v>
      </c>
      <c r="G128" s="257"/>
      <c r="H128" s="257"/>
      <c r="I128" s="257"/>
      <c r="J128" s="257" t="e">
        <f>#REF!+I128</f>
        <v>#REF!</v>
      </c>
      <c r="K128" s="257"/>
      <c r="L128" s="257" t="e">
        <f>F128+J128</f>
        <v>#REF!</v>
      </c>
      <c r="M128" s="257">
        <f>G128+K128</f>
        <v>0</v>
      </c>
      <c r="N128" s="257" t="e">
        <f t="shared" ref="N128:O128" si="201">H128+L128</f>
        <v>#REF!</v>
      </c>
      <c r="O128" s="257">
        <f t="shared" si="201"/>
        <v>0</v>
      </c>
      <c r="P128" s="257" t="e">
        <f>J128+N128</f>
        <v>#REF!</v>
      </c>
      <c r="Q128" s="257">
        <f t="shared" ref="Q128:R128" si="202">K128+O128</f>
        <v>0</v>
      </c>
      <c r="R128" s="257" t="e">
        <f t="shared" si="202"/>
        <v>#REF!</v>
      </c>
      <c r="S128" s="257">
        <f t="shared" ref="S128" si="203">M128+Q128</f>
        <v>0</v>
      </c>
      <c r="T128" s="257" t="e">
        <f t="shared" ref="T128" si="204">N128+R128</f>
        <v>#REF!</v>
      </c>
      <c r="U128" s="257">
        <f t="shared" ref="U128" si="205">O128+S128</f>
        <v>0</v>
      </c>
      <c r="V128" s="257" t="e">
        <f t="shared" ref="V128" si="206">P128+T128</f>
        <v>#REF!</v>
      </c>
      <c r="W128" s="257">
        <f t="shared" ref="W128" si="207">Q128+U128</f>
        <v>0</v>
      </c>
      <c r="X128" s="257" t="e">
        <f t="shared" ref="X128" si="208">R128+V128</f>
        <v>#REF!</v>
      </c>
      <c r="Y128" s="257">
        <f t="shared" ref="Y128" si="209">S128+W128</f>
        <v>0</v>
      </c>
      <c r="Z128" s="257" t="e">
        <f t="shared" ref="Z128" si="210">T128+X128</f>
        <v>#REF!</v>
      </c>
    </row>
    <row r="129" spans="1:26" s="430" customFormat="1" ht="14.25" x14ac:dyDescent="0.2">
      <c r="A129" s="462" t="s">
        <v>298</v>
      </c>
      <c r="B129" s="250" t="s">
        <v>130</v>
      </c>
      <c r="C129" s="250" t="s">
        <v>202</v>
      </c>
      <c r="D129" s="250"/>
      <c r="E129" s="250"/>
      <c r="F129" s="250"/>
      <c r="G129" s="275" t="e">
        <f>G130+#REF!+#REF!+G245+G255</f>
        <v>#REF!</v>
      </c>
      <c r="H129" s="275" t="e">
        <f>H130+H160+#REF!+H245+H255</f>
        <v>#REF!</v>
      </c>
      <c r="I129" s="275" t="e">
        <f>I130+I160+#REF!+I245+I255</f>
        <v>#REF!</v>
      </c>
      <c r="J129" s="275" t="e">
        <f>J130+J160+#REF!+J245+J255</f>
        <v>#REF!</v>
      </c>
      <c r="K129" s="275" t="e">
        <f>K130+K160+#REF!+K245+K255</f>
        <v>#REF!</v>
      </c>
      <c r="L129" s="275" t="e">
        <f t="shared" ref="L129:X129" si="211">L130+L160+L218+L245+L255</f>
        <v>#REF!</v>
      </c>
      <c r="M129" s="275" t="e">
        <f t="shared" si="211"/>
        <v>#REF!</v>
      </c>
      <c r="N129" s="275" t="e">
        <f t="shared" si="211"/>
        <v>#REF!</v>
      </c>
      <c r="O129" s="275" t="e">
        <f t="shared" si="211"/>
        <v>#REF!</v>
      </c>
      <c r="P129" s="275" t="e">
        <f t="shared" si="211"/>
        <v>#REF!</v>
      </c>
      <c r="Q129" s="275" t="e">
        <f t="shared" si="211"/>
        <v>#REF!</v>
      </c>
      <c r="R129" s="275" t="e">
        <f t="shared" si="211"/>
        <v>#REF!</v>
      </c>
      <c r="S129" s="275" t="e">
        <f t="shared" si="211"/>
        <v>#REF!</v>
      </c>
      <c r="T129" s="275" t="e">
        <f t="shared" si="211"/>
        <v>#REF!</v>
      </c>
      <c r="U129" s="275" t="e">
        <f t="shared" si="211"/>
        <v>#REF!</v>
      </c>
      <c r="V129" s="275" t="e">
        <f t="shared" si="211"/>
        <v>#REF!</v>
      </c>
      <c r="W129" s="275" t="e">
        <f t="shared" si="211"/>
        <v>#REF!</v>
      </c>
      <c r="X129" s="275">
        <f t="shared" si="211"/>
        <v>408692.84725600004</v>
      </c>
      <c r="Y129" s="275">
        <f t="shared" ref="Y129:Z129" si="212">Y130+Y160+Y218+Y245+Y255</f>
        <v>243175.92</v>
      </c>
      <c r="Z129" s="275">
        <f t="shared" si="212"/>
        <v>651868.76725600008</v>
      </c>
    </row>
    <row r="130" spans="1:26" s="430" customFormat="1" ht="13.5" customHeight="1" x14ac:dyDescent="0.2">
      <c r="A130" s="268" t="s">
        <v>227</v>
      </c>
      <c r="B130" s="250" t="s">
        <v>130</v>
      </c>
      <c r="C130" s="250" t="s">
        <v>202</v>
      </c>
      <c r="D130" s="250" t="s">
        <v>190</v>
      </c>
      <c r="E130" s="250"/>
      <c r="F130" s="250"/>
      <c r="G130" s="275" t="e">
        <f>#REF!+G131</f>
        <v>#REF!</v>
      </c>
      <c r="H130" s="275">
        <f t="shared" ref="H130:K131" si="213">H131</f>
        <v>18791.29</v>
      </c>
      <c r="I130" s="275">
        <f t="shared" si="213"/>
        <v>351.48</v>
      </c>
      <c r="J130" s="275">
        <f t="shared" si="213"/>
        <v>19142.77</v>
      </c>
      <c r="K130" s="275">
        <f t="shared" si="213"/>
        <v>-1755.05</v>
      </c>
      <c r="L130" s="275">
        <f>L131</f>
        <v>21869.07</v>
      </c>
      <c r="M130" s="275">
        <f>M131</f>
        <v>17576.330000000002</v>
      </c>
      <c r="N130" s="275">
        <f>N131+N152</f>
        <v>28616.11</v>
      </c>
      <c r="O130" s="275">
        <f>O131+O152</f>
        <v>50271</v>
      </c>
      <c r="P130" s="275">
        <f>P131+P152</f>
        <v>50271</v>
      </c>
      <c r="Q130" s="275">
        <f>Q131+Q152</f>
        <v>11711</v>
      </c>
      <c r="R130" s="275">
        <f>R131</f>
        <v>18000</v>
      </c>
      <c r="S130" s="275">
        <f t="shared" ref="S130:W130" si="214">S131</f>
        <v>-5147.54</v>
      </c>
      <c r="T130" s="275">
        <f t="shared" si="214"/>
        <v>0</v>
      </c>
      <c r="U130" s="275">
        <f t="shared" si="214"/>
        <v>8081.5499999999993</v>
      </c>
      <c r="V130" s="275">
        <f>V131</f>
        <v>61684.28</v>
      </c>
      <c r="W130" s="275">
        <f t="shared" si="214"/>
        <v>-53684.28</v>
      </c>
      <c r="X130" s="275">
        <f>X131</f>
        <v>72886.679999999847</v>
      </c>
      <c r="Y130" s="275">
        <f t="shared" ref="Y130:Z130" si="215">Y131</f>
        <v>64704.72</v>
      </c>
      <c r="Z130" s="275">
        <f t="shared" si="215"/>
        <v>137591.39999999985</v>
      </c>
    </row>
    <row r="131" spans="1:26" s="430" customFormat="1" ht="37.5" customHeight="1" x14ac:dyDescent="0.2">
      <c r="A131" s="259" t="s">
        <v>987</v>
      </c>
      <c r="B131" s="252" t="s">
        <v>130</v>
      </c>
      <c r="C131" s="252" t="s">
        <v>202</v>
      </c>
      <c r="D131" s="252" t="s">
        <v>190</v>
      </c>
      <c r="E131" s="252" t="s">
        <v>749</v>
      </c>
      <c r="F131" s="252"/>
      <c r="G131" s="275"/>
      <c r="H131" s="275">
        <f t="shared" si="213"/>
        <v>18791.29</v>
      </c>
      <c r="I131" s="275">
        <f t="shared" si="213"/>
        <v>351.48</v>
      </c>
      <c r="J131" s="275">
        <f t="shared" si="213"/>
        <v>19142.77</v>
      </c>
      <c r="K131" s="275">
        <f t="shared" si="213"/>
        <v>-1755.05</v>
      </c>
      <c r="L131" s="275">
        <f>L132</f>
        <v>21869.07</v>
      </c>
      <c r="M131" s="275">
        <f>M132</f>
        <v>17576.330000000002</v>
      </c>
      <c r="N131" s="275">
        <f>N132</f>
        <v>-3654.89</v>
      </c>
      <c r="O131" s="275">
        <f t="shared" ref="O131:W131" si="216">O132</f>
        <v>18000</v>
      </c>
      <c r="P131" s="275">
        <f t="shared" si="216"/>
        <v>18000</v>
      </c>
      <c r="Q131" s="275">
        <f t="shared" si="216"/>
        <v>0</v>
      </c>
      <c r="R131" s="275">
        <f>R132</f>
        <v>18000</v>
      </c>
      <c r="S131" s="275">
        <f t="shared" si="216"/>
        <v>-5147.54</v>
      </c>
      <c r="T131" s="275">
        <f t="shared" si="216"/>
        <v>0</v>
      </c>
      <c r="U131" s="275">
        <f t="shared" si="216"/>
        <v>8081.5499999999993</v>
      </c>
      <c r="V131" s="275">
        <f t="shared" si="216"/>
        <v>61684.28</v>
      </c>
      <c r="W131" s="275">
        <f t="shared" si="216"/>
        <v>-53684.28</v>
      </c>
      <c r="X131" s="275">
        <f>X132+X133+X134+X135+X136+X137+X138+X139+X140+X141+X144+X149+X150+X151+X152+X157</f>
        <v>72886.679999999847</v>
      </c>
      <c r="Y131" s="275">
        <f t="shared" ref="Y131" si="217">Y132+Y133+Y134+Y135+Y136+Y137+Y138+Y139+Y140+Y141+Y144+Y149+Y150+Y151+Y152+Y157</f>
        <v>64704.72</v>
      </c>
      <c r="Z131" s="275">
        <f>Z132+Z133+Z134+Z135+Z136+Z137+Z138+Z139+Z140+Z141+Z144+Z149+Z150+Z151+Z152+Z157</f>
        <v>137591.39999999985</v>
      </c>
    </row>
    <row r="132" spans="1:26" s="430" customFormat="1" ht="18.75" customHeight="1" x14ac:dyDescent="0.2">
      <c r="A132" s="375" t="s">
        <v>897</v>
      </c>
      <c r="B132" s="252" t="s">
        <v>130</v>
      </c>
      <c r="C132" s="252" t="s">
        <v>202</v>
      </c>
      <c r="D132" s="252" t="s">
        <v>190</v>
      </c>
      <c r="E132" s="251" t="s">
        <v>749</v>
      </c>
      <c r="F132" s="252" t="s">
        <v>832</v>
      </c>
      <c r="G132" s="257"/>
      <c r="H132" s="257">
        <v>18791.29</v>
      </c>
      <c r="I132" s="257">
        <f>-1500+1851.48</f>
        <v>351.48</v>
      </c>
      <c r="J132" s="257">
        <f>H132+I132</f>
        <v>19142.77</v>
      </c>
      <c r="K132" s="257">
        <v>-1755.05</v>
      </c>
      <c r="L132" s="257">
        <f>19869.07+2000</f>
        <v>21869.07</v>
      </c>
      <c r="M132" s="257">
        <f>15576.33+2000</f>
        <v>17576.330000000002</v>
      </c>
      <c r="N132" s="257">
        <v>-3654.89</v>
      </c>
      <c r="O132" s="257">
        <v>18000</v>
      </c>
      <c r="P132" s="257">
        <v>18000</v>
      </c>
      <c r="Q132" s="257">
        <v>0</v>
      </c>
      <c r="R132" s="257">
        <f>P132+Q132</f>
        <v>18000</v>
      </c>
      <c r="S132" s="257">
        <f>-5592.25+600+412.2-567.49</f>
        <v>-5147.54</v>
      </c>
      <c r="T132" s="257">
        <v>0</v>
      </c>
      <c r="U132" s="257">
        <f>14000+1491.99-6810.44-600</f>
        <v>8081.5499999999993</v>
      </c>
      <c r="V132" s="257">
        <v>61684.28</v>
      </c>
      <c r="W132" s="257">
        <v>-53684.28</v>
      </c>
      <c r="X132" s="257">
        <v>0</v>
      </c>
      <c r="Y132" s="257">
        <v>22510</v>
      </c>
      <c r="Z132" s="257">
        <f t="shared" ref="Z132:Z140" si="218">X132+Y132</f>
        <v>22510</v>
      </c>
    </row>
    <row r="133" spans="1:26" s="430" customFormat="1" ht="33" customHeight="1" x14ac:dyDescent="0.2">
      <c r="A133" s="273" t="s">
        <v>900</v>
      </c>
      <c r="B133" s="252" t="s">
        <v>130</v>
      </c>
      <c r="C133" s="252" t="s">
        <v>202</v>
      </c>
      <c r="D133" s="252" t="s">
        <v>190</v>
      </c>
      <c r="E133" s="251" t="s">
        <v>749</v>
      </c>
      <c r="F133" s="252" t="s">
        <v>899</v>
      </c>
      <c r="G133" s="257"/>
      <c r="H133" s="257">
        <v>18791.29</v>
      </c>
      <c r="I133" s="257">
        <f>-1500+1851.48</f>
        <v>351.48</v>
      </c>
      <c r="J133" s="257">
        <f>H133+I133</f>
        <v>19142.77</v>
      </c>
      <c r="K133" s="257">
        <v>-1755.05</v>
      </c>
      <c r="L133" s="257">
        <f>19869.07+2000</f>
        <v>21869.07</v>
      </c>
      <c r="M133" s="257">
        <f>15576.33+2000</f>
        <v>17576.330000000002</v>
      </c>
      <c r="N133" s="257">
        <v>-3654.89</v>
      </c>
      <c r="O133" s="257">
        <v>18000</v>
      </c>
      <c r="P133" s="257">
        <v>18000</v>
      </c>
      <c r="Q133" s="257">
        <v>0</v>
      </c>
      <c r="R133" s="257"/>
      <c r="S133" s="257">
        <v>4000</v>
      </c>
      <c r="T133" s="257">
        <v>0</v>
      </c>
      <c r="U133" s="257">
        <v>4000</v>
      </c>
      <c r="V133" s="257">
        <v>0</v>
      </c>
      <c r="W133" s="257">
        <v>3000</v>
      </c>
      <c r="X133" s="257">
        <v>0</v>
      </c>
      <c r="Y133" s="257">
        <v>6798</v>
      </c>
      <c r="Z133" s="257">
        <f t="shared" si="218"/>
        <v>6798</v>
      </c>
    </row>
    <row r="134" spans="1:26" s="430" customFormat="1" ht="18" customHeight="1" x14ac:dyDescent="0.2">
      <c r="A134" s="375" t="s">
        <v>897</v>
      </c>
      <c r="B134" s="252" t="s">
        <v>130</v>
      </c>
      <c r="C134" s="252" t="s">
        <v>202</v>
      </c>
      <c r="D134" s="252" t="s">
        <v>190</v>
      </c>
      <c r="E134" s="251" t="s">
        <v>1253</v>
      </c>
      <c r="F134" s="252" t="s">
        <v>832</v>
      </c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>
        <f>18623.3-7382.6-9472</f>
        <v>1768.6999999999989</v>
      </c>
      <c r="T134" s="257">
        <v>4316.7</v>
      </c>
      <c r="U134" s="257">
        <f>3675.9+8716.5-240-810</f>
        <v>11342.4</v>
      </c>
      <c r="V134" s="257">
        <v>0</v>
      </c>
      <c r="W134" s="257">
        <v>0</v>
      </c>
      <c r="X134" s="257">
        <v>0</v>
      </c>
      <c r="Y134" s="257">
        <v>7000</v>
      </c>
      <c r="Z134" s="257">
        <f t="shared" si="218"/>
        <v>7000</v>
      </c>
    </row>
    <row r="135" spans="1:26" s="430" customFormat="1" ht="33" customHeight="1" x14ac:dyDescent="0.2">
      <c r="A135" s="273" t="s">
        <v>900</v>
      </c>
      <c r="B135" s="252" t="s">
        <v>130</v>
      </c>
      <c r="C135" s="252" t="s">
        <v>202</v>
      </c>
      <c r="D135" s="252" t="s">
        <v>190</v>
      </c>
      <c r="E135" s="251" t="s">
        <v>1253</v>
      </c>
      <c r="F135" s="252" t="s">
        <v>899</v>
      </c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>
        <f>18623.3-7382.6-9472</f>
        <v>1768.6999999999989</v>
      </c>
      <c r="T135" s="257">
        <v>4316.7</v>
      </c>
      <c r="U135" s="257">
        <f>3675.9+8716.5-240-810</f>
        <v>11342.4</v>
      </c>
      <c r="V135" s="257">
        <v>0</v>
      </c>
      <c r="W135" s="257">
        <v>0</v>
      </c>
      <c r="X135" s="257">
        <v>0</v>
      </c>
      <c r="Y135" s="257">
        <v>3000</v>
      </c>
      <c r="Z135" s="257">
        <f t="shared" si="218"/>
        <v>3000</v>
      </c>
    </row>
    <row r="136" spans="1:26" s="430" customFormat="1" ht="15.75" customHeight="1" x14ac:dyDescent="0.2">
      <c r="A136" s="259" t="s">
        <v>952</v>
      </c>
      <c r="B136" s="252" t="s">
        <v>130</v>
      </c>
      <c r="C136" s="252" t="s">
        <v>202</v>
      </c>
      <c r="D136" s="252" t="s">
        <v>190</v>
      </c>
      <c r="E136" s="252" t="s">
        <v>749</v>
      </c>
      <c r="F136" s="252" t="s">
        <v>919</v>
      </c>
      <c r="G136" s="257"/>
      <c r="H136" s="257">
        <v>261</v>
      </c>
      <c r="I136" s="257">
        <v>0</v>
      </c>
      <c r="J136" s="257">
        <f t="shared" ref="J136:J140" si="219">H136+I136</f>
        <v>261</v>
      </c>
      <c r="K136" s="257">
        <v>0</v>
      </c>
      <c r="L136" s="257">
        <v>200</v>
      </c>
      <c r="M136" s="257">
        <v>200</v>
      </c>
      <c r="N136" s="257">
        <v>0</v>
      </c>
      <c r="O136" s="257">
        <f t="shared" ref="O136:O140" si="220">M136+N136</f>
        <v>200</v>
      </c>
      <c r="P136" s="257">
        <v>200</v>
      </c>
      <c r="Q136" s="257">
        <v>0</v>
      </c>
      <c r="R136" s="257">
        <f t="shared" ref="R136:R140" si="221">P136+Q136</f>
        <v>200</v>
      </c>
      <c r="S136" s="257">
        <v>0</v>
      </c>
      <c r="T136" s="257">
        <f t="shared" ref="T136:T137" si="222">R136+S136</f>
        <v>200</v>
      </c>
      <c r="U136" s="257">
        <v>0</v>
      </c>
      <c r="V136" s="257">
        <v>200</v>
      </c>
      <c r="W136" s="257">
        <v>0</v>
      </c>
      <c r="X136" s="257">
        <v>0</v>
      </c>
      <c r="Y136" s="257">
        <v>20</v>
      </c>
      <c r="Z136" s="257">
        <f t="shared" si="218"/>
        <v>20</v>
      </c>
    </row>
    <row r="137" spans="1:26" s="430" customFormat="1" ht="15.75" customHeight="1" x14ac:dyDescent="0.2">
      <c r="A137" s="259" t="s">
        <v>93</v>
      </c>
      <c r="B137" s="252" t="s">
        <v>130</v>
      </c>
      <c r="C137" s="252" t="s">
        <v>202</v>
      </c>
      <c r="D137" s="252" t="s">
        <v>190</v>
      </c>
      <c r="E137" s="252" t="s">
        <v>749</v>
      </c>
      <c r="F137" s="252" t="s">
        <v>94</v>
      </c>
      <c r="G137" s="257"/>
      <c r="H137" s="257">
        <v>1500</v>
      </c>
      <c r="I137" s="257">
        <v>0</v>
      </c>
      <c r="J137" s="257">
        <f t="shared" si="219"/>
        <v>1500</v>
      </c>
      <c r="K137" s="257">
        <v>-395.6</v>
      </c>
      <c r="L137" s="257">
        <v>1200</v>
      </c>
      <c r="M137" s="257">
        <v>1200</v>
      </c>
      <c r="N137" s="257">
        <v>-100</v>
      </c>
      <c r="O137" s="257">
        <f t="shared" si="220"/>
        <v>1100</v>
      </c>
      <c r="P137" s="257">
        <v>1100</v>
      </c>
      <c r="Q137" s="257">
        <v>0</v>
      </c>
      <c r="R137" s="257">
        <f t="shared" si="221"/>
        <v>1100</v>
      </c>
      <c r="S137" s="257">
        <v>0</v>
      </c>
      <c r="T137" s="257">
        <f t="shared" si="222"/>
        <v>1100</v>
      </c>
      <c r="U137" s="257">
        <v>-118</v>
      </c>
      <c r="V137" s="257">
        <v>1100</v>
      </c>
      <c r="W137" s="257">
        <f>50+1000</f>
        <v>1050</v>
      </c>
      <c r="X137" s="257">
        <v>0</v>
      </c>
      <c r="Y137" s="257">
        <v>1500</v>
      </c>
      <c r="Z137" s="257">
        <f t="shared" si="218"/>
        <v>1500</v>
      </c>
    </row>
    <row r="138" spans="1:26" s="430" customFormat="1" ht="15.75" customHeight="1" x14ac:dyDescent="0.2">
      <c r="A138" s="259" t="s">
        <v>1167</v>
      </c>
      <c r="B138" s="252" t="s">
        <v>130</v>
      </c>
      <c r="C138" s="252" t="s">
        <v>202</v>
      </c>
      <c r="D138" s="252" t="s">
        <v>190</v>
      </c>
      <c r="E138" s="252" t="s">
        <v>749</v>
      </c>
      <c r="F138" s="252" t="s">
        <v>1166</v>
      </c>
      <c r="G138" s="257"/>
      <c r="H138" s="257">
        <v>1500</v>
      </c>
      <c r="I138" s="257">
        <v>0</v>
      </c>
      <c r="J138" s="257">
        <f t="shared" si="219"/>
        <v>1500</v>
      </c>
      <c r="K138" s="257">
        <v>-395.6</v>
      </c>
      <c r="L138" s="257">
        <v>1200</v>
      </c>
      <c r="M138" s="257">
        <v>1200</v>
      </c>
      <c r="N138" s="257">
        <v>-100</v>
      </c>
      <c r="O138" s="257">
        <f t="shared" si="220"/>
        <v>1100</v>
      </c>
      <c r="P138" s="257">
        <v>1100</v>
      </c>
      <c r="Q138" s="257">
        <v>0</v>
      </c>
      <c r="R138" s="257">
        <f t="shared" si="221"/>
        <v>1100</v>
      </c>
      <c r="S138" s="257">
        <v>0</v>
      </c>
      <c r="T138" s="257">
        <v>0</v>
      </c>
      <c r="U138" s="257">
        <v>118</v>
      </c>
      <c r="V138" s="257">
        <v>0</v>
      </c>
      <c r="W138" s="257">
        <v>118</v>
      </c>
      <c r="X138" s="257">
        <v>0</v>
      </c>
      <c r="Y138" s="257">
        <v>400</v>
      </c>
      <c r="Z138" s="257">
        <f t="shared" si="218"/>
        <v>400</v>
      </c>
    </row>
    <row r="139" spans="1:26" s="430" customFormat="1" ht="15.75" customHeight="1" x14ac:dyDescent="0.2">
      <c r="A139" s="259" t="s">
        <v>103</v>
      </c>
      <c r="B139" s="252" t="s">
        <v>130</v>
      </c>
      <c r="C139" s="252" t="s">
        <v>202</v>
      </c>
      <c r="D139" s="252" t="s">
        <v>190</v>
      </c>
      <c r="E139" s="252" t="s">
        <v>749</v>
      </c>
      <c r="F139" s="252" t="s">
        <v>104</v>
      </c>
      <c r="G139" s="257"/>
      <c r="H139" s="257">
        <v>40</v>
      </c>
      <c r="I139" s="257">
        <v>0</v>
      </c>
      <c r="J139" s="257">
        <f t="shared" si="219"/>
        <v>40</v>
      </c>
      <c r="K139" s="257">
        <v>0</v>
      </c>
      <c r="L139" s="257">
        <f>I139+J139</f>
        <v>40</v>
      </c>
      <c r="M139" s="257">
        <f>J139+K139</f>
        <v>40</v>
      </c>
      <c r="N139" s="257">
        <v>0</v>
      </c>
      <c r="O139" s="257">
        <f t="shared" si="220"/>
        <v>40</v>
      </c>
      <c r="P139" s="257">
        <f t="shared" ref="P139" si="223">M139+N139</f>
        <v>40</v>
      </c>
      <c r="Q139" s="257">
        <v>0</v>
      </c>
      <c r="R139" s="257">
        <f t="shared" si="221"/>
        <v>40</v>
      </c>
      <c r="S139" s="257">
        <v>310</v>
      </c>
      <c r="T139" s="257">
        <f t="shared" ref="T139:T140" si="224">R139+S139</f>
        <v>350</v>
      </c>
      <c r="U139" s="257">
        <v>0</v>
      </c>
      <c r="V139" s="257">
        <v>350</v>
      </c>
      <c r="W139" s="257">
        <v>0</v>
      </c>
      <c r="X139" s="257">
        <v>0</v>
      </c>
      <c r="Y139" s="257">
        <v>1250</v>
      </c>
      <c r="Z139" s="257">
        <f t="shared" si="218"/>
        <v>1250</v>
      </c>
    </row>
    <row r="140" spans="1:26" s="430" customFormat="1" ht="15.75" customHeight="1" x14ac:dyDescent="0.2">
      <c r="A140" s="259" t="s">
        <v>400</v>
      </c>
      <c r="B140" s="252" t="s">
        <v>130</v>
      </c>
      <c r="C140" s="252" t="s">
        <v>202</v>
      </c>
      <c r="D140" s="252" t="s">
        <v>190</v>
      </c>
      <c r="E140" s="252" t="s">
        <v>749</v>
      </c>
      <c r="F140" s="252" t="s">
        <v>106</v>
      </c>
      <c r="G140" s="257"/>
      <c r="H140" s="257">
        <v>60</v>
      </c>
      <c r="I140" s="257">
        <v>0</v>
      </c>
      <c r="J140" s="257">
        <f t="shared" si="219"/>
        <v>60</v>
      </c>
      <c r="K140" s="257">
        <v>-0.15</v>
      </c>
      <c r="L140" s="257">
        <v>60</v>
      </c>
      <c r="M140" s="257">
        <v>60</v>
      </c>
      <c r="N140" s="257">
        <v>0</v>
      </c>
      <c r="O140" s="257">
        <f t="shared" si="220"/>
        <v>60</v>
      </c>
      <c r="P140" s="257">
        <v>60</v>
      </c>
      <c r="Q140" s="257">
        <v>0</v>
      </c>
      <c r="R140" s="257">
        <f t="shared" si="221"/>
        <v>60</v>
      </c>
      <c r="S140" s="257">
        <v>-30</v>
      </c>
      <c r="T140" s="257">
        <f t="shared" si="224"/>
        <v>30</v>
      </c>
      <c r="U140" s="257">
        <v>0</v>
      </c>
      <c r="V140" s="257">
        <v>30</v>
      </c>
      <c r="W140" s="257">
        <v>0</v>
      </c>
      <c r="X140" s="257">
        <v>0</v>
      </c>
      <c r="Y140" s="257">
        <v>6</v>
      </c>
      <c r="Z140" s="257">
        <f t="shared" si="218"/>
        <v>6</v>
      </c>
    </row>
    <row r="141" spans="1:26" s="430" customFormat="1" ht="59.25" customHeight="1" x14ac:dyDescent="0.2">
      <c r="A141" s="259" t="s">
        <v>942</v>
      </c>
      <c r="B141" s="252" t="s">
        <v>130</v>
      </c>
      <c r="C141" s="252" t="s">
        <v>202</v>
      </c>
      <c r="D141" s="252" t="s">
        <v>190</v>
      </c>
      <c r="E141" s="251" t="s">
        <v>1263</v>
      </c>
      <c r="F141" s="252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>
        <f>X142+X143</f>
        <v>0</v>
      </c>
      <c r="Y141" s="257">
        <f t="shared" ref="Y141:Z141" si="225">Y142+Y143</f>
        <v>94237.86</v>
      </c>
      <c r="Z141" s="257">
        <f t="shared" si="225"/>
        <v>94237.86</v>
      </c>
    </row>
    <row r="142" spans="1:26" s="430" customFormat="1" ht="21.75" customHeight="1" x14ac:dyDescent="0.2">
      <c r="A142" s="375" t="s">
        <v>897</v>
      </c>
      <c r="B142" s="252" t="s">
        <v>130</v>
      </c>
      <c r="C142" s="252" t="s">
        <v>202</v>
      </c>
      <c r="D142" s="252" t="s">
        <v>190</v>
      </c>
      <c r="E142" s="251" t="s">
        <v>1263</v>
      </c>
      <c r="F142" s="252" t="s">
        <v>832</v>
      </c>
      <c r="G142" s="257"/>
      <c r="H142" s="257">
        <v>174462.7</v>
      </c>
      <c r="I142" s="257">
        <v>5065</v>
      </c>
      <c r="J142" s="257">
        <f t="shared" ref="J142:J145" si="226">H142+I142</f>
        <v>179527.7</v>
      </c>
      <c r="K142" s="257">
        <v>-3826.2</v>
      </c>
      <c r="L142" s="257">
        <f t="shared" ref="L142:M143" si="227">177297.6-4263</f>
        <v>173034.6</v>
      </c>
      <c r="M142" s="257">
        <f t="shared" si="227"/>
        <v>173034.6</v>
      </c>
      <c r="N142" s="257">
        <f>-30015.8+9254.2</f>
        <v>-20761.599999999999</v>
      </c>
      <c r="O142" s="257">
        <f>M142+N142</f>
        <v>152273</v>
      </c>
      <c r="P142" s="257">
        <f>143018.8+9254.2</f>
        <v>152273</v>
      </c>
      <c r="Q142" s="257">
        <v>36373</v>
      </c>
      <c r="R142" s="257">
        <f>P142+Q142</f>
        <v>188646</v>
      </c>
      <c r="S142" s="257">
        <v>10530</v>
      </c>
      <c r="T142" s="257">
        <f t="shared" ref="T142:T143" si="228">R142+S142</f>
        <v>199176</v>
      </c>
      <c r="U142" s="257">
        <v>2155.9</v>
      </c>
      <c r="V142" s="257">
        <v>199176</v>
      </c>
      <c r="W142" s="257">
        <v>23269.7</v>
      </c>
      <c r="X142" s="257">
        <v>0</v>
      </c>
      <c r="Y142" s="257">
        <v>72379.3</v>
      </c>
      <c r="Z142" s="257">
        <f t="shared" ref="Z142:Z143" si="229">X142+Y142</f>
        <v>72379.3</v>
      </c>
    </row>
    <row r="143" spans="1:26" s="430" customFormat="1" ht="33" customHeight="1" x14ac:dyDescent="0.2">
      <c r="A143" s="273" t="s">
        <v>900</v>
      </c>
      <c r="B143" s="252" t="s">
        <v>130</v>
      </c>
      <c r="C143" s="252" t="s">
        <v>202</v>
      </c>
      <c r="D143" s="252" t="s">
        <v>190</v>
      </c>
      <c r="E143" s="251" t="s">
        <v>1263</v>
      </c>
      <c r="F143" s="252" t="s">
        <v>899</v>
      </c>
      <c r="G143" s="257"/>
      <c r="H143" s="257">
        <v>174462.7</v>
      </c>
      <c r="I143" s="257">
        <v>5065</v>
      </c>
      <c r="J143" s="257">
        <f t="shared" si="226"/>
        <v>179527.7</v>
      </c>
      <c r="K143" s="257">
        <v>-3826.2</v>
      </c>
      <c r="L143" s="257">
        <f t="shared" si="227"/>
        <v>173034.6</v>
      </c>
      <c r="M143" s="257">
        <f t="shared" si="227"/>
        <v>173034.6</v>
      </c>
      <c r="N143" s="257">
        <f>-30015.8+9254.2</f>
        <v>-20761.599999999999</v>
      </c>
      <c r="O143" s="257">
        <f>M143+N143</f>
        <v>152273</v>
      </c>
      <c r="P143" s="257">
        <f>143018.8+9254.2</f>
        <v>152273</v>
      </c>
      <c r="Q143" s="257">
        <v>36373</v>
      </c>
      <c r="R143" s="257">
        <f>P143+Q143</f>
        <v>188646</v>
      </c>
      <c r="S143" s="257">
        <v>10530</v>
      </c>
      <c r="T143" s="257">
        <f t="shared" si="228"/>
        <v>199176</v>
      </c>
      <c r="U143" s="257">
        <v>2155.9</v>
      </c>
      <c r="V143" s="257">
        <v>199176</v>
      </c>
      <c r="W143" s="257">
        <v>23269.7</v>
      </c>
      <c r="X143" s="257">
        <v>0</v>
      </c>
      <c r="Y143" s="257">
        <v>21858.560000000001</v>
      </c>
      <c r="Z143" s="257">
        <f t="shared" si="229"/>
        <v>21858.560000000001</v>
      </c>
    </row>
    <row r="144" spans="1:26" s="430" customFormat="1" ht="33" customHeight="1" x14ac:dyDescent="0.2">
      <c r="A144" s="259" t="s">
        <v>1242</v>
      </c>
      <c r="B144" s="252" t="s">
        <v>130</v>
      </c>
      <c r="C144" s="252" t="s">
        <v>202</v>
      </c>
      <c r="D144" s="252" t="s">
        <v>190</v>
      </c>
      <c r="E144" s="251" t="s">
        <v>1302</v>
      </c>
      <c r="F144" s="252"/>
      <c r="G144" s="257"/>
      <c r="H144" s="257">
        <f>H145</f>
        <v>1736</v>
      </c>
      <c r="I144" s="257">
        <f>I145</f>
        <v>0</v>
      </c>
      <c r="J144" s="257">
        <f t="shared" si="226"/>
        <v>1736</v>
      </c>
      <c r="K144" s="257">
        <f>K145</f>
        <v>0</v>
      </c>
      <c r="L144" s="257">
        <f>L145</f>
        <v>1667.6</v>
      </c>
      <c r="M144" s="257">
        <f>M145</f>
        <v>1667.6</v>
      </c>
      <c r="N144" s="257">
        <f t="shared" ref="N144:Q144" si="230">N145</f>
        <v>-647.6</v>
      </c>
      <c r="O144" s="257">
        <f t="shared" si="230"/>
        <v>1019.9999999999999</v>
      </c>
      <c r="P144" s="257">
        <f t="shared" si="230"/>
        <v>1020</v>
      </c>
      <c r="Q144" s="257">
        <f t="shared" si="230"/>
        <v>-117.5</v>
      </c>
      <c r="R144" s="257">
        <f>R145+R147</f>
        <v>902.5</v>
      </c>
      <c r="S144" s="257">
        <f t="shared" ref="S144:W144" si="231">S145+S147</f>
        <v>1902</v>
      </c>
      <c r="T144" s="257">
        <f t="shared" si="231"/>
        <v>2776.4</v>
      </c>
      <c r="U144" s="257">
        <f t="shared" si="231"/>
        <v>-2776.4</v>
      </c>
      <c r="V144" s="257">
        <f t="shared" si="231"/>
        <v>0</v>
      </c>
      <c r="W144" s="257">
        <f t="shared" si="231"/>
        <v>0</v>
      </c>
      <c r="X144" s="257">
        <f>X145+X146+X147+X148</f>
        <v>0</v>
      </c>
      <c r="Y144" s="257">
        <f t="shared" ref="Y144:Z144" si="232">Y145+Y147+Y146+Y148</f>
        <v>704.54</v>
      </c>
      <c r="Z144" s="257">
        <f t="shared" si="232"/>
        <v>704.54</v>
      </c>
    </row>
    <row r="145" spans="1:26" s="430" customFormat="1" ht="14.25" customHeight="1" x14ac:dyDescent="0.2">
      <c r="A145" s="259" t="s">
        <v>897</v>
      </c>
      <c r="B145" s="252" t="s">
        <v>130</v>
      </c>
      <c r="C145" s="252" t="s">
        <v>202</v>
      </c>
      <c r="D145" s="252" t="s">
        <v>190</v>
      </c>
      <c r="E145" s="251" t="s">
        <v>1302</v>
      </c>
      <c r="F145" s="252" t="s">
        <v>832</v>
      </c>
      <c r="G145" s="257"/>
      <c r="H145" s="257">
        <v>1736</v>
      </c>
      <c r="I145" s="257">
        <v>0</v>
      </c>
      <c r="J145" s="257">
        <f t="shared" si="226"/>
        <v>1736</v>
      </c>
      <c r="K145" s="257">
        <v>0</v>
      </c>
      <c r="L145" s="257">
        <v>1667.6</v>
      </c>
      <c r="M145" s="257">
        <v>1667.6</v>
      </c>
      <c r="N145" s="257">
        <v>-647.6</v>
      </c>
      <c r="O145" s="257">
        <f t="shared" ref="O145" si="233">M145+N145</f>
        <v>1019.9999999999999</v>
      </c>
      <c r="P145" s="257">
        <v>1020</v>
      </c>
      <c r="Q145" s="257">
        <v>-117.5</v>
      </c>
      <c r="R145" s="257">
        <f>P145+Q145</f>
        <v>902.5</v>
      </c>
      <c r="S145" s="257">
        <v>1873.9</v>
      </c>
      <c r="T145" s="257">
        <f t="shared" ref="T145" si="234">R145+S145</f>
        <v>2776.4</v>
      </c>
      <c r="U145" s="257">
        <v>-2776.4</v>
      </c>
      <c r="V145" s="257">
        <f t="shared" ref="V145" si="235">T145+U145</f>
        <v>0</v>
      </c>
      <c r="W145" s="257">
        <v>0</v>
      </c>
      <c r="X145" s="257">
        <f t="shared" ref="X145:X148" si="236">V145+W145</f>
        <v>0</v>
      </c>
      <c r="Y145" s="257">
        <v>536</v>
      </c>
      <c r="Z145" s="257">
        <f t="shared" ref="Z145:Z149" si="237">X145+Y145</f>
        <v>536</v>
      </c>
    </row>
    <row r="146" spans="1:26" s="430" customFormat="1" ht="14.25" customHeight="1" x14ac:dyDescent="0.2">
      <c r="A146" s="259" t="s">
        <v>897</v>
      </c>
      <c r="B146" s="252" t="s">
        <v>130</v>
      </c>
      <c r="C146" s="252" t="s">
        <v>202</v>
      </c>
      <c r="D146" s="252" t="s">
        <v>190</v>
      </c>
      <c r="E146" s="251" t="s">
        <v>1302</v>
      </c>
      <c r="F146" s="252" t="s">
        <v>832</v>
      </c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>
        <f t="shared" si="236"/>
        <v>0</v>
      </c>
      <c r="Y146" s="257">
        <v>5.41</v>
      </c>
      <c r="Z146" s="257">
        <f t="shared" si="237"/>
        <v>5.41</v>
      </c>
    </row>
    <row r="147" spans="1:26" s="430" customFormat="1" ht="33" customHeight="1" x14ac:dyDescent="0.2">
      <c r="A147" s="259" t="s">
        <v>900</v>
      </c>
      <c r="B147" s="252" t="s">
        <v>130</v>
      </c>
      <c r="C147" s="252" t="s">
        <v>202</v>
      </c>
      <c r="D147" s="252" t="s">
        <v>190</v>
      </c>
      <c r="E147" s="251" t="s">
        <v>1302</v>
      </c>
      <c r="F147" s="252" t="s">
        <v>899</v>
      </c>
      <c r="G147" s="257"/>
      <c r="H147" s="257" t="e">
        <f>#REF!</f>
        <v>#REF!</v>
      </c>
      <c r="I147" s="257" t="e">
        <f>#REF!</f>
        <v>#REF!</v>
      </c>
      <c r="J147" s="257" t="e">
        <f t="shared" ref="J147" si="238">H147+I147</f>
        <v>#REF!</v>
      </c>
      <c r="K147" s="257" t="e">
        <f>#REF!</f>
        <v>#REF!</v>
      </c>
      <c r="L147" s="257" t="e">
        <f>#REF!</f>
        <v>#REF!</v>
      </c>
      <c r="M147" s="257" t="e">
        <f>#REF!</f>
        <v>#REF!</v>
      </c>
      <c r="N147" s="257" t="e">
        <f>#REF!</f>
        <v>#REF!</v>
      </c>
      <c r="O147" s="257" t="e">
        <f>#REF!</f>
        <v>#REF!</v>
      </c>
      <c r="P147" s="257" t="e">
        <f>#REF!</f>
        <v>#REF!</v>
      </c>
      <c r="Q147" s="257" t="e">
        <f>#REF!</f>
        <v>#REF!</v>
      </c>
      <c r="R147" s="257">
        <v>0</v>
      </c>
      <c r="S147" s="257">
        <v>28.1</v>
      </c>
      <c r="T147" s="257">
        <v>0</v>
      </c>
      <c r="U147" s="257">
        <v>0</v>
      </c>
      <c r="V147" s="257">
        <f t="shared" ref="V147" si="239">T147+U147</f>
        <v>0</v>
      </c>
      <c r="W147" s="257">
        <v>0</v>
      </c>
      <c r="X147" s="257">
        <f t="shared" si="236"/>
        <v>0</v>
      </c>
      <c r="Y147" s="257">
        <v>161.5</v>
      </c>
      <c r="Z147" s="257">
        <f t="shared" si="237"/>
        <v>161.5</v>
      </c>
    </row>
    <row r="148" spans="1:26" s="430" customFormat="1" ht="33" customHeight="1" x14ac:dyDescent="0.2">
      <c r="A148" s="259" t="s">
        <v>900</v>
      </c>
      <c r="B148" s="252" t="s">
        <v>130</v>
      </c>
      <c r="C148" s="252" t="s">
        <v>202</v>
      </c>
      <c r="D148" s="252" t="s">
        <v>190</v>
      </c>
      <c r="E148" s="251" t="s">
        <v>1302</v>
      </c>
      <c r="F148" s="252" t="s">
        <v>899</v>
      </c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>
        <f t="shared" si="236"/>
        <v>0</v>
      </c>
      <c r="Y148" s="257">
        <v>1.63</v>
      </c>
      <c r="Z148" s="257">
        <f t="shared" si="237"/>
        <v>1.63</v>
      </c>
    </row>
    <row r="149" spans="1:26" s="430" customFormat="1" ht="21.75" customHeight="1" x14ac:dyDescent="0.2">
      <c r="A149" s="259" t="s">
        <v>1063</v>
      </c>
      <c r="B149" s="252" t="s">
        <v>130</v>
      </c>
      <c r="C149" s="252" t="s">
        <v>202</v>
      </c>
      <c r="D149" s="252" t="s">
        <v>190</v>
      </c>
      <c r="E149" s="251" t="s">
        <v>864</v>
      </c>
      <c r="F149" s="252" t="s">
        <v>94</v>
      </c>
      <c r="G149" s="257"/>
      <c r="H149" s="257">
        <v>1831</v>
      </c>
      <c r="I149" s="257">
        <v>0</v>
      </c>
      <c r="J149" s="257">
        <f t="shared" ref="J149" si="240">H149+I149</f>
        <v>1831</v>
      </c>
      <c r="K149" s="257">
        <v>0</v>
      </c>
      <c r="L149" s="257">
        <v>1115.2</v>
      </c>
      <c r="M149" s="257">
        <v>1115.2</v>
      </c>
      <c r="N149" s="257">
        <v>1512.7</v>
      </c>
      <c r="O149" s="257">
        <f t="shared" ref="O149" si="241">M149+N149</f>
        <v>2627.9</v>
      </c>
      <c r="P149" s="257">
        <v>2627.9</v>
      </c>
      <c r="Q149" s="257">
        <v>-667.9</v>
      </c>
      <c r="R149" s="257">
        <v>2000</v>
      </c>
      <c r="S149" s="257">
        <v>2052.3000000000002</v>
      </c>
      <c r="T149" s="257">
        <v>2000</v>
      </c>
      <c r="U149" s="257">
        <v>1878.7</v>
      </c>
      <c r="V149" s="257">
        <v>2000</v>
      </c>
      <c r="W149" s="257">
        <v>3330.9</v>
      </c>
      <c r="X149" s="257">
        <v>0</v>
      </c>
      <c r="Y149" s="257">
        <v>165</v>
      </c>
      <c r="Z149" s="257">
        <f t="shared" si="237"/>
        <v>165</v>
      </c>
    </row>
    <row r="150" spans="1:26" s="430" customFormat="1" ht="23.25" hidden="1" customHeight="1" x14ac:dyDescent="0.2">
      <c r="A150" s="259" t="s">
        <v>1303</v>
      </c>
      <c r="B150" s="252" t="s">
        <v>130</v>
      </c>
      <c r="C150" s="252" t="s">
        <v>202</v>
      </c>
      <c r="D150" s="252" t="s">
        <v>190</v>
      </c>
      <c r="E150" s="251" t="s">
        <v>1304</v>
      </c>
      <c r="F150" s="252" t="s">
        <v>94</v>
      </c>
      <c r="G150" s="257"/>
      <c r="H150" s="257">
        <v>1831</v>
      </c>
      <c r="I150" s="257">
        <v>0</v>
      </c>
      <c r="J150" s="257">
        <f t="shared" ref="J150" si="242">H150+I150</f>
        <v>1831</v>
      </c>
      <c r="K150" s="257">
        <v>0</v>
      </c>
      <c r="L150" s="257">
        <v>1115.2</v>
      </c>
      <c r="M150" s="257">
        <v>1115.2</v>
      </c>
      <c r="N150" s="257">
        <v>1512.7</v>
      </c>
      <c r="O150" s="257">
        <f t="shared" ref="O150" si="243">M150+N150</f>
        <v>2627.9</v>
      </c>
      <c r="P150" s="257">
        <v>2627.9</v>
      </c>
      <c r="Q150" s="257">
        <v>-667.9</v>
      </c>
      <c r="R150" s="257">
        <v>2000</v>
      </c>
      <c r="S150" s="257">
        <v>2052.3000000000002</v>
      </c>
      <c r="T150" s="257">
        <v>2000</v>
      </c>
      <c r="U150" s="257">
        <v>1878.7</v>
      </c>
      <c r="V150" s="257">
        <v>2000</v>
      </c>
      <c r="W150" s="257">
        <v>3330.9</v>
      </c>
      <c r="X150" s="257">
        <v>0</v>
      </c>
      <c r="Y150" s="257">
        <v>0</v>
      </c>
      <c r="Z150" s="257">
        <f t="shared" ref="Z150" si="244">X150+Y150</f>
        <v>0</v>
      </c>
    </row>
    <row r="151" spans="1:26" s="430" customFormat="1" ht="32.25" customHeight="1" x14ac:dyDescent="0.2">
      <c r="A151" s="259" t="s">
        <v>76</v>
      </c>
      <c r="B151" s="252" t="s">
        <v>130</v>
      </c>
      <c r="C151" s="252" t="s">
        <v>202</v>
      </c>
      <c r="D151" s="252" t="s">
        <v>190</v>
      </c>
      <c r="E151" s="252" t="s">
        <v>864</v>
      </c>
      <c r="F151" s="252" t="s">
        <v>77</v>
      </c>
      <c r="G151" s="275"/>
      <c r="H151" s="257">
        <v>13517.8</v>
      </c>
      <c r="I151" s="257">
        <v>1729.49</v>
      </c>
      <c r="J151" s="257">
        <f>H151+I151</f>
        <v>15247.289999999999</v>
      </c>
      <c r="K151" s="257">
        <v>0</v>
      </c>
      <c r="L151" s="257">
        <v>0</v>
      </c>
      <c r="M151" s="257">
        <v>0</v>
      </c>
      <c r="N151" s="257">
        <v>0</v>
      </c>
      <c r="O151" s="257">
        <f>M151+N151</f>
        <v>0</v>
      </c>
      <c r="P151" s="257">
        <v>0</v>
      </c>
      <c r="Q151" s="257">
        <f>9598.28+1355.74+10000</f>
        <v>20954.02</v>
      </c>
      <c r="R151" s="257">
        <f t="shared" ref="R151:R153" si="245">P151+Q151</f>
        <v>20954.02</v>
      </c>
      <c r="S151" s="257">
        <f>2023.85-983.87</f>
        <v>1039.98</v>
      </c>
      <c r="T151" s="257">
        <v>8270.8700000000008</v>
      </c>
      <c r="U151" s="257">
        <f>16932.13+507+1302</f>
        <v>18741.13</v>
      </c>
      <c r="V151" s="257">
        <v>3144.48</v>
      </c>
      <c r="W151" s="257">
        <v>32419.72</v>
      </c>
      <c r="X151" s="257">
        <v>24749.709999999846</v>
      </c>
      <c r="Y151" s="257">
        <v>-24749.71</v>
      </c>
      <c r="Z151" s="257">
        <f>X151+Y151</f>
        <v>-1.5279510989785194E-10</v>
      </c>
    </row>
    <row r="152" spans="1:26" s="430" customFormat="1" ht="34.5" customHeight="1" x14ac:dyDescent="0.2">
      <c r="A152" s="259" t="s">
        <v>76</v>
      </c>
      <c r="B152" s="252" t="s">
        <v>130</v>
      </c>
      <c r="C152" s="252" t="s">
        <v>202</v>
      </c>
      <c r="D152" s="252" t="s">
        <v>190</v>
      </c>
      <c r="E152" s="251" t="s">
        <v>778</v>
      </c>
      <c r="F152" s="252" t="s">
        <v>77</v>
      </c>
      <c r="G152" s="257"/>
      <c r="H152" s="257">
        <v>0</v>
      </c>
      <c r="I152" s="257">
        <v>50</v>
      </c>
      <c r="J152" s="257">
        <f>H152+I152</f>
        <v>50</v>
      </c>
      <c r="K152" s="257">
        <v>0</v>
      </c>
      <c r="L152" s="257">
        <v>0</v>
      </c>
      <c r="M152" s="257">
        <v>0</v>
      </c>
      <c r="N152" s="257">
        <v>32271</v>
      </c>
      <c r="O152" s="257">
        <f t="shared" ref="O152:O154" si="246">M152+N152</f>
        <v>32271</v>
      </c>
      <c r="P152" s="257">
        <v>32271</v>
      </c>
      <c r="Q152" s="257">
        <v>11711</v>
      </c>
      <c r="R152" s="257">
        <f t="shared" si="245"/>
        <v>43982</v>
      </c>
      <c r="S152" s="257">
        <v>-529</v>
      </c>
      <c r="T152" s="257">
        <f t="shared" ref="T152:T153" si="247">R152+S152</f>
        <v>43453</v>
      </c>
      <c r="U152" s="257">
        <v>6455.7</v>
      </c>
      <c r="V152" s="257">
        <v>15940.5</v>
      </c>
      <c r="W152" s="257">
        <v>36339</v>
      </c>
      <c r="X152" s="257">
        <v>47899.6</v>
      </c>
      <c r="Y152" s="257">
        <v>-47899.6</v>
      </c>
      <c r="Z152" s="257">
        <f t="shared" ref="Z152:Z153" si="248">X152+Y152</f>
        <v>0</v>
      </c>
    </row>
    <row r="153" spans="1:26" s="430" customFormat="1" ht="21.75" hidden="1" customHeight="1" x14ac:dyDescent="0.2">
      <c r="A153" s="259" t="s">
        <v>78</v>
      </c>
      <c r="B153" s="252" t="s">
        <v>130</v>
      </c>
      <c r="C153" s="252" t="s">
        <v>202</v>
      </c>
      <c r="D153" s="252" t="s">
        <v>190</v>
      </c>
      <c r="E153" s="252" t="s">
        <v>749</v>
      </c>
      <c r="F153" s="252" t="s">
        <v>79</v>
      </c>
      <c r="G153" s="257"/>
      <c r="H153" s="257">
        <v>100</v>
      </c>
      <c r="I153" s="257">
        <v>0</v>
      </c>
      <c r="J153" s="257">
        <f>H153+I153</f>
        <v>100</v>
      </c>
      <c r="K153" s="257">
        <v>0</v>
      </c>
      <c r="L153" s="257">
        <v>100</v>
      </c>
      <c r="M153" s="257">
        <v>100</v>
      </c>
      <c r="N153" s="257">
        <v>0</v>
      </c>
      <c r="O153" s="257">
        <f t="shared" si="246"/>
        <v>100</v>
      </c>
      <c r="P153" s="257">
        <v>100</v>
      </c>
      <c r="Q153" s="257">
        <v>0</v>
      </c>
      <c r="R153" s="257">
        <f t="shared" si="245"/>
        <v>100</v>
      </c>
      <c r="S153" s="257">
        <v>-50</v>
      </c>
      <c r="T153" s="257">
        <f t="shared" si="247"/>
        <v>50</v>
      </c>
      <c r="U153" s="257">
        <v>0</v>
      </c>
      <c r="V153" s="257">
        <v>50</v>
      </c>
      <c r="W153" s="257">
        <v>-40</v>
      </c>
      <c r="X153" s="257">
        <v>0</v>
      </c>
      <c r="Y153" s="257">
        <v>0</v>
      </c>
      <c r="Z153" s="257">
        <f t="shared" si="248"/>
        <v>0</v>
      </c>
    </row>
    <row r="154" spans="1:26" s="430" customFormat="1" ht="31.5" hidden="1" customHeight="1" x14ac:dyDescent="0.2">
      <c r="A154" s="259" t="s">
        <v>1196</v>
      </c>
      <c r="B154" s="252" t="s">
        <v>130</v>
      </c>
      <c r="C154" s="252" t="s">
        <v>202</v>
      </c>
      <c r="D154" s="252" t="s">
        <v>190</v>
      </c>
      <c r="E154" s="251" t="s">
        <v>1197</v>
      </c>
      <c r="F154" s="252"/>
      <c r="G154" s="257"/>
      <c r="H154" s="257">
        <v>100</v>
      </c>
      <c r="I154" s="257">
        <v>0</v>
      </c>
      <c r="J154" s="257">
        <f>H154+I154</f>
        <v>100</v>
      </c>
      <c r="K154" s="257">
        <v>0</v>
      </c>
      <c r="L154" s="257">
        <v>100</v>
      </c>
      <c r="M154" s="257">
        <v>100</v>
      </c>
      <c r="N154" s="257">
        <v>0</v>
      </c>
      <c r="O154" s="257">
        <f t="shared" si="246"/>
        <v>100</v>
      </c>
      <c r="P154" s="257">
        <v>100</v>
      </c>
      <c r="Q154" s="257">
        <v>0</v>
      </c>
      <c r="R154" s="257">
        <f>R155+R156</f>
        <v>0</v>
      </c>
      <c r="S154" s="257">
        <f t="shared" ref="S154" si="249">S155+S156</f>
        <v>647.5</v>
      </c>
      <c r="T154" s="257">
        <f>T155+T156</f>
        <v>647.5</v>
      </c>
      <c r="U154" s="257">
        <f t="shared" ref="U154" si="250">U155+U156</f>
        <v>-446.39</v>
      </c>
      <c r="V154" s="257">
        <f>V155+V156</f>
        <v>647.5</v>
      </c>
      <c r="W154" s="257">
        <f t="shared" ref="W154" si="251">W155+W156</f>
        <v>-28.209999999999997</v>
      </c>
      <c r="X154" s="257">
        <f>X155+X156</f>
        <v>0</v>
      </c>
      <c r="Y154" s="257">
        <f t="shared" ref="Y154" si="252">Y155+Y156</f>
        <v>0</v>
      </c>
      <c r="Z154" s="257">
        <f>Z155+Z156</f>
        <v>0</v>
      </c>
    </row>
    <row r="155" spans="1:26" s="430" customFormat="1" ht="21.75" hidden="1" customHeight="1" x14ac:dyDescent="0.2">
      <c r="A155" s="259" t="s">
        <v>78</v>
      </c>
      <c r="B155" s="252" t="s">
        <v>130</v>
      </c>
      <c r="C155" s="252" t="s">
        <v>202</v>
      </c>
      <c r="D155" s="252" t="s">
        <v>190</v>
      </c>
      <c r="E155" s="251" t="s">
        <v>1197</v>
      </c>
      <c r="F155" s="252" t="s">
        <v>79</v>
      </c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>
        <v>0</v>
      </c>
      <c r="S155" s="257">
        <v>641</v>
      </c>
      <c r="T155" s="257">
        <f t="shared" ref="T155:T156" si="253">R155+S155</f>
        <v>641</v>
      </c>
      <c r="U155" s="257">
        <v>-441.9</v>
      </c>
      <c r="V155" s="257">
        <v>641</v>
      </c>
      <c r="W155" s="257">
        <v>-27.9</v>
      </c>
      <c r="X155" s="257">
        <v>0</v>
      </c>
      <c r="Y155" s="257">
        <v>0</v>
      </c>
      <c r="Z155" s="257">
        <f t="shared" ref="Z155:Z156" si="254">X155+Y155</f>
        <v>0</v>
      </c>
    </row>
    <row r="156" spans="1:26" s="430" customFormat="1" ht="21.75" hidden="1" customHeight="1" x14ac:dyDescent="0.2">
      <c r="A156" s="259" t="s">
        <v>1069</v>
      </c>
      <c r="B156" s="252" t="s">
        <v>130</v>
      </c>
      <c r="C156" s="252" t="s">
        <v>202</v>
      </c>
      <c r="D156" s="252" t="s">
        <v>190</v>
      </c>
      <c r="E156" s="251" t="s">
        <v>1197</v>
      </c>
      <c r="F156" s="252" t="s">
        <v>79</v>
      </c>
      <c r="G156" s="257"/>
      <c r="H156" s="257">
        <v>100</v>
      </c>
      <c r="I156" s="257">
        <v>0</v>
      </c>
      <c r="J156" s="257">
        <f>H156+I156</f>
        <v>100</v>
      </c>
      <c r="K156" s="257">
        <v>0</v>
      </c>
      <c r="L156" s="257">
        <v>100</v>
      </c>
      <c r="M156" s="257">
        <v>100</v>
      </c>
      <c r="N156" s="257">
        <v>0</v>
      </c>
      <c r="O156" s="257">
        <f t="shared" ref="O156" si="255">M156+N156</f>
        <v>100</v>
      </c>
      <c r="P156" s="257">
        <v>100</v>
      </c>
      <c r="Q156" s="257">
        <v>0</v>
      </c>
      <c r="R156" s="257">
        <v>0</v>
      </c>
      <c r="S156" s="257">
        <v>6.5</v>
      </c>
      <c r="T156" s="257">
        <f t="shared" si="253"/>
        <v>6.5</v>
      </c>
      <c r="U156" s="257">
        <v>-4.49</v>
      </c>
      <c r="V156" s="257">
        <v>6.5</v>
      </c>
      <c r="W156" s="257">
        <v>-0.31</v>
      </c>
      <c r="X156" s="257">
        <v>0</v>
      </c>
      <c r="Y156" s="257">
        <v>0</v>
      </c>
      <c r="Z156" s="257">
        <f t="shared" si="254"/>
        <v>0</v>
      </c>
    </row>
    <row r="157" spans="1:26" s="430" customFormat="1" ht="36" customHeight="1" x14ac:dyDescent="0.2">
      <c r="A157" s="259" t="s">
        <v>940</v>
      </c>
      <c r="B157" s="252" t="s">
        <v>130</v>
      </c>
      <c r="C157" s="252" t="s">
        <v>202</v>
      </c>
      <c r="D157" s="252" t="s">
        <v>190</v>
      </c>
      <c r="E157" s="251" t="s">
        <v>774</v>
      </c>
      <c r="F157" s="252"/>
      <c r="G157" s="257"/>
      <c r="H157" s="257">
        <v>100</v>
      </c>
      <c r="I157" s="257">
        <v>0</v>
      </c>
      <c r="J157" s="257">
        <f>H157+I157</f>
        <v>100</v>
      </c>
      <c r="K157" s="257">
        <v>0</v>
      </c>
      <c r="L157" s="257">
        <v>100</v>
      </c>
      <c r="M157" s="257">
        <v>100</v>
      </c>
      <c r="N157" s="257">
        <v>0</v>
      </c>
      <c r="O157" s="257">
        <f t="shared" ref="O157" si="256">M157+N157</f>
        <v>100</v>
      </c>
      <c r="P157" s="257">
        <v>100</v>
      </c>
      <c r="Q157" s="257">
        <v>0</v>
      </c>
      <c r="R157" s="257">
        <f>R158+R159</f>
        <v>0</v>
      </c>
      <c r="S157" s="257">
        <f t="shared" ref="S157:U157" si="257">S158+S159</f>
        <v>647.5</v>
      </c>
      <c r="T157" s="257">
        <f>T158+T159</f>
        <v>647.5</v>
      </c>
      <c r="U157" s="257">
        <f t="shared" si="257"/>
        <v>-446.39</v>
      </c>
      <c r="V157" s="257">
        <f>V158+V159</f>
        <v>647.5</v>
      </c>
      <c r="W157" s="257">
        <f t="shared" ref="W157:Y157" si="258">W158+W159</f>
        <v>-28.209999999999997</v>
      </c>
      <c r="X157" s="257">
        <f>X158+X159</f>
        <v>237.37</v>
      </c>
      <c r="Y157" s="257">
        <f t="shared" si="258"/>
        <v>-237.37</v>
      </c>
      <c r="Z157" s="257">
        <f>Z158+Z159</f>
        <v>0</v>
      </c>
    </row>
    <row r="158" spans="1:26" s="430" customFormat="1" ht="18" customHeight="1" x14ac:dyDescent="0.2">
      <c r="A158" s="259" t="s">
        <v>78</v>
      </c>
      <c r="B158" s="252" t="s">
        <v>130</v>
      </c>
      <c r="C158" s="252" t="s">
        <v>202</v>
      </c>
      <c r="D158" s="252" t="s">
        <v>190</v>
      </c>
      <c r="E158" s="251" t="s">
        <v>774</v>
      </c>
      <c r="F158" s="252" t="s">
        <v>79</v>
      </c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>
        <v>0</v>
      </c>
      <c r="S158" s="257">
        <v>641</v>
      </c>
      <c r="T158" s="257">
        <f t="shared" ref="T158" si="259">R158+S158</f>
        <v>641</v>
      </c>
      <c r="U158" s="257">
        <v>-441.9</v>
      </c>
      <c r="V158" s="257">
        <v>641</v>
      </c>
      <c r="W158" s="257">
        <v>-27.9</v>
      </c>
      <c r="X158" s="257">
        <v>235</v>
      </c>
      <c r="Y158" s="257">
        <v>-235</v>
      </c>
      <c r="Z158" s="257">
        <f t="shared" ref="Z158:Z159" si="260">X158+Y158</f>
        <v>0</v>
      </c>
    </row>
    <row r="159" spans="1:26" s="430" customFormat="1" ht="24.75" customHeight="1" x14ac:dyDescent="0.2">
      <c r="A159" s="259" t="s">
        <v>1069</v>
      </c>
      <c r="B159" s="252" t="s">
        <v>130</v>
      </c>
      <c r="C159" s="252" t="s">
        <v>202</v>
      </c>
      <c r="D159" s="252" t="s">
        <v>190</v>
      </c>
      <c r="E159" s="251" t="s">
        <v>774</v>
      </c>
      <c r="F159" s="252" t="s">
        <v>79</v>
      </c>
      <c r="G159" s="257"/>
      <c r="H159" s="257">
        <v>100</v>
      </c>
      <c r="I159" s="257">
        <v>0</v>
      </c>
      <c r="J159" s="257">
        <f>H159+I159</f>
        <v>100</v>
      </c>
      <c r="K159" s="257">
        <v>0</v>
      </c>
      <c r="L159" s="257">
        <v>100</v>
      </c>
      <c r="M159" s="257">
        <v>100</v>
      </c>
      <c r="N159" s="257">
        <v>0</v>
      </c>
      <c r="O159" s="257">
        <f t="shared" ref="O159" si="261">M159+N159</f>
        <v>100</v>
      </c>
      <c r="P159" s="257">
        <v>100</v>
      </c>
      <c r="Q159" s="257">
        <v>0</v>
      </c>
      <c r="R159" s="257">
        <v>0</v>
      </c>
      <c r="S159" s="257">
        <v>6.5</v>
      </c>
      <c r="T159" s="257">
        <f t="shared" ref="T159" si="262">R159+S159</f>
        <v>6.5</v>
      </c>
      <c r="U159" s="257">
        <v>-4.49</v>
      </c>
      <c r="V159" s="257">
        <v>6.5</v>
      </c>
      <c r="W159" s="257">
        <v>-0.31</v>
      </c>
      <c r="X159" s="257">
        <v>2.37</v>
      </c>
      <c r="Y159" s="257">
        <v>-2.37</v>
      </c>
      <c r="Z159" s="257">
        <f t="shared" si="260"/>
        <v>0</v>
      </c>
    </row>
    <row r="160" spans="1:26" s="430" customFormat="1" ht="18" customHeight="1" x14ac:dyDescent="0.2">
      <c r="A160" s="462" t="s">
        <v>228</v>
      </c>
      <c r="B160" s="250" t="s">
        <v>130</v>
      </c>
      <c r="C160" s="250" t="s">
        <v>202</v>
      </c>
      <c r="D160" s="250" t="s">
        <v>192</v>
      </c>
      <c r="E160" s="252"/>
      <c r="F160" s="252"/>
      <c r="G160" s="257"/>
      <c r="H160" s="257" t="e">
        <f>H161</f>
        <v>#REF!</v>
      </c>
      <c r="I160" s="257" t="e">
        <f>I161</f>
        <v>#REF!</v>
      </c>
      <c r="J160" s="257" t="e">
        <f>J161</f>
        <v>#REF!</v>
      </c>
      <c r="K160" s="257" t="e">
        <f>K161+#REF!+#REF!+#REF!+#REF!</f>
        <v>#REF!</v>
      </c>
      <c r="L160" s="257" t="e">
        <f>L161</f>
        <v>#REF!</v>
      </c>
      <c r="M160" s="257" t="e">
        <f>M161</f>
        <v>#REF!</v>
      </c>
      <c r="N160" s="257" t="e">
        <f t="shared" ref="N160:S160" si="263">N161</f>
        <v>#REF!</v>
      </c>
      <c r="O160" s="257" t="e">
        <f t="shared" si="263"/>
        <v>#REF!</v>
      </c>
      <c r="P160" s="257" t="e">
        <f t="shared" si="263"/>
        <v>#REF!</v>
      </c>
      <c r="Q160" s="275" t="e">
        <f t="shared" si="263"/>
        <v>#REF!</v>
      </c>
      <c r="R160" s="275" t="e">
        <f t="shared" si="263"/>
        <v>#REF!</v>
      </c>
      <c r="S160" s="275" t="e">
        <f t="shared" si="263"/>
        <v>#REF!</v>
      </c>
      <c r="T160" s="275" t="e">
        <f>T161</f>
        <v>#REF!</v>
      </c>
      <c r="U160" s="275" t="e">
        <f t="shared" ref="U160:Z160" si="264">U161</f>
        <v>#REF!</v>
      </c>
      <c r="V160" s="275" t="e">
        <f t="shared" si="264"/>
        <v>#REF!</v>
      </c>
      <c r="W160" s="275" t="e">
        <f t="shared" si="264"/>
        <v>#REF!</v>
      </c>
      <c r="X160" s="275">
        <f>X161</f>
        <v>288403.63725600013</v>
      </c>
      <c r="Y160" s="275">
        <f t="shared" si="264"/>
        <v>181082.47</v>
      </c>
      <c r="Z160" s="275">
        <f t="shared" si="264"/>
        <v>469486.10725600016</v>
      </c>
    </row>
    <row r="161" spans="1:26" ht="36" customHeight="1" x14ac:dyDescent="0.2">
      <c r="A161" s="259" t="s">
        <v>976</v>
      </c>
      <c r="B161" s="252" t="s">
        <v>130</v>
      </c>
      <c r="C161" s="252" t="s">
        <v>202</v>
      </c>
      <c r="D161" s="252" t="s">
        <v>192</v>
      </c>
      <c r="E161" s="251" t="s">
        <v>784</v>
      </c>
      <c r="F161" s="252"/>
      <c r="G161" s="257" t="e">
        <f>G162+G204+#REF!+#REF!+#REF!+#REF!+#REF!+#REF!+#REF!</f>
        <v>#REF!</v>
      </c>
      <c r="H161" s="257" t="e">
        <f>H162+H204+#REF!+#REF!+#REF!+#REF!+#REF!+#REF!+#REF!+#REF!+H219+#REF!</f>
        <v>#REF!</v>
      </c>
      <c r="I161" s="257" t="e">
        <f>I162+I204+#REF!+#REF!+#REF!+#REF!+#REF!+#REF!+#REF!+#REF!+I219+#REF!</f>
        <v>#REF!</v>
      </c>
      <c r="J161" s="257" t="e">
        <f>J162+J204+#REF!+#REF!+#REF!+#REF!+#REF!+#REF!+#REF!+#REF!+J219+#REF!</f>
        <v>#REF!</v>
      </c>
      <c r="K161" s="257" t="e">
        <f>K162+K204+#REF!+#REF!+#REF!+#REF!+#REF!+#REF!+#REF!+#REF!+K219+#REF!+#REF!</f>
        <v>#REF!</v>
      </c>
      <c r="L161" s="257" t="e">
        <f>L162+L204+#REF!+#REF!+#REF!+#REF!+#REF!+#REF!+#REF!+#REF!+#REF!+#REF!</f>
        <v>#REF!</v>
      </c>
      <c r="M161" s="257" t="e">
        <f>M162+M204+#REF!+#REF!+#REF!+#REF!+#REF!+#REF!</f>
        <v>#REF!</v>
      </c>
      <c r="N161" s="257" t="e">
        <f>N162+N204+#REF!+#REF!+#REF!+#REF!+#REF!+#REF!</f>
        <v>#REF!</v>
      </c>
      <c r="O161" s="257" t="e">
        <f>O162+O204+#REF!+#REF!+#REF!+#REF!+#REF!+#REF!</f>
        <v>#REF!</v>
      </c>
      <c r="P161" s="257" t="e">
        <f>P162+P204+#REF!+#REF!+#REF!+#REF!+#REF!+#REF!</f>
        <v>#REF!</v>
      </c>
      <c r="Q161" s="257" t="e">
        <f>Q162+Q204+#REF!+#REF!+#REF!+#REF!+#REF!+#REF!</f>
        <v>#REF!</v>
      </c>
      <c r="R161" s="257" t="e">
        <f>R162+R204+R205+R206+R207+#REF!+#REF!+#REF!+R213+R163</f>
        <v>#REF!</v>
      </c>
      <c r="S161" s="257" t="e">
        <f>S162+S204+S205+S206+S207+#REF!+#REF!+#REF!+S213+S163</f>
        <v>#REF!</v>
      </c>
      <c r="T161" s="257" t="e">
        <f>T162+T163+T204+T205+T206+T207+#REF!+T210+#REF!+#REF!+T213+T216+#REF!+#REF!+#REF!</f>
        <v>#REF!</v>
      </c>
      <c r="U161" s="257" t="e">
        <f>U162+U163+U204+U205+U206+U207+#REF!+U210+#REF!+#REF!+U213+U216+#REF!+#REF!+#REF!</f>
        <v>#REF!</v>
      </c>
      <c r="V161" s="257" t="e">
        <f>V162+V163+V204+V205+V206+V207+#REF!+V210+#REF!+#REF!+V213+V216+#REF!+#REF!+#REF!+#REF!</f>
        <v>#REF!</v>
      </c>
      <c r="W161" s="257" t="e">
        <f>W162+W163+W204+W205+W206+W207+#REF!+W210+#REF!+#REF!+W213+W216+#REF!+#REF!+#REF!+#REF!</f>
        <v>#REF!</v>
      </c>
      <c r="X161" s="257">
        <f>X162+X163+X164+X165+X166+X167+X168+X169+X170+X172+X176+X181+X184+X187+X190+X193+X196+X198+X199+X204+X205+X206+X207+X210+X197+X202+X171</f>
        <v>288403.63725600013</v>
      </c>
      <c r="Y161" s="257">
        <f t="shared" ref="Y161:Z161" si="265">Y162+Y163+Y164+Y165+Y166+Y167+Y168+Y169+Y170+Y172+Y176+Y181+Y184+Y187+Y190+Y193+Y196+Y198+Y199+Y204+Y205+Y206+Y207+Y210+Y197+Y202+Y171</f>
        <v>181082.47</v>
      </c>
      <c r="Z161" s="257">
        <f t="shared" si="265"/>
        <v>469486.10725600016</v>
      </c>
    </row>
    <row r="162" spans="1:26" ht="16.5" customHeight="1" x14ac:dyDescent="0.2">
      <c r="A162" s="375" t="s">
        <v>897</v>
      </c>
      <c r="B162" s="252" t="s">
        <v>130</v>
      </c>
      <c r="C162" s="252" t="s">
        <v>202</v>
      </c>
      <c r="D162" s="252" t="s">
        <v>192</v>
      </c>
      <c r="E162" s="251" t="s">
        <v>784</v>
      </c>
      <c r="F162" s="252" t="s">
        <v>832</v>
      </c>
      <c r="G162" s="257"/>
      <c r="H162" s="257">
        <v>18791.29</v>
      </c>
      <c r="I162" s="257">
        <f>-1500+1851.48</f>
        <v>351.48</v>
      </c>
      <c r="J162" s="257">
        <f>H162+I162</f>
        <v>19142.77</v>
      </c>
      <c r="K162" s="257">
        <v>-1755.05</v>
      </c>
      <c r="L162" s="257">
        <f>19869.07+2000</f>
        <v>21869.07</v>
      </c>
      <c r="M162" s="257">
        <f>15576.33+2000</f>
        <v>17576.330000000002</v>
      </c>
      <c r="N162" s="257">
        <v>-3654.89</v>
      </c>
      <c r="O162" s="257">
        <v>18000</v>
      </c>
      <c r="P162" s="257">
        <v>18000</v>
      </c>
      <c r="Q162" s="257">
        <v>0</v>
      </c>
      <c r="R162" s="257">
        <f>P162+Q162</f>
        <v>18000</v>
      </c>
      <c r="S162" s="257">
        <f>-5592.25+600+412.2-567.49</f>
        <v>-5147.54</v>
      </c>
      <c r="T162" s="257">
        <v>0</v>
      </c>
      <c r="U162" s="257">
        <f>14000+1491.99-6810.44-600</f>
        <v>8081.5499999999993</v>
      </c>
      <c r="V162" s="257">
        <v>61684.28</v>
      </c>
      <c r="W162" s="257">
        <v>-53684.28</v>
      </c>
      <c r="X162" s="257">
        <v>0</v>
      </c>
      <c r="Y162" s="257">
        <v>51150</v>
      </c>
      <c r="Z162" s="257">
        <f t="shared" ref="Z162:Z206" si="266">X162+Y162</f>
        <v>51150</v>
      </c>
    </row>
    <row r="163" spans="1:26" ht="38.25" customHeight="1" x14ac:dyDescent="0.2">
      <c r="A163" s="273" t="s">
        <v>900</v>
      </c>
      <c r="B163" s="252" t="s">
        <v>130</v>
      </c>
      <c r="C163" s="252" t="s">
        <v>202</v>
      </c>
      <c r="D163" s="252" t="s">
        <v>192</v>
      </c>
      <c r="E163" s="251" t="s">
        <v>784</v>
      </c>
      <c r="F163" s="252" t="s">
        <v>899</v>
      </c>
      <c r="G163" s="257"/>
      <c r="H163" s="257">
        <v>18791.29</v>
      </c>
      <c r="I163" s="257">
        <f>-1500+1851.48</f>
        <v>351.48</v>
      </c>
      <c r="J163" s="257">
        <f>H163+I163</f>
        <v>19142.77</v>
      </c>
      <c r="K163" s="257">
        <v>-1755.05</v>
      </c>
      <c r="L163" s="257">
        <f>19869.07+2000</f>
        <v>21869.07</v>
      </c>
      <c r="M163" s="257">
        <f>15576.33+2000</f>
        <v>17576.330000000002</v>
      </c>
      <c r="N163" s="257">
        <v>-3654.89</v>
      </c>
      <c r="O163" s="257">
        <v>18000</v>
      </c>
      <c r="P163" s="257">
        <v>18000</v>
      </c>
      <c r="Q163" s="257">
        <v>0</v>
      </c>
      <c r="R163" s="257"/>
      <c r="S163" s="257">
        <v>4000</v>
      </c>
      <c r="T163" s="257">
        <v>0</v>
      </c>
      <c r="U163" s="257">
        <v>4000</v>
      </c>
      <c r="V163" s="257">
        <v>0</v>
      </c>
      <c r="W163" s="257">
        <v>3000</v>
      </c>
      <c r="X163" s="257">
        <v>0</v>
      </c>
      <c r="Y163" s="257">
        <v>15447</v>
      </c>
      <c r="Z163" s="257">
        <f t="shared" si="266"/>
        <v>15447</v>
      </c>
    </row>
    <row r="164" spans="1:26" ht="20.25" customHeight="1" x14ac:dyDescent="0.2">
      <c r="A164" s="375" t="s">
        <v>897</v>
      </c>
      <c r="B164" s="252" t="s">
        <v>130</v>
      </c>
      <c r="C164" s="252" t="s">
        <v>202</v>
      </c>
      <c r="D164" s="252" t="s">
        <v>192</v>
      </c>
      <c r="E164" s="251" t="s">
        <v>1254</v>
      </c>
      <c r="F164" s="252" t="s">
        <v>832</v>
      </c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>
        <f>18623.3-7382.6-9472</f>
        <v>1768.6999999999989</v>
      </c>
      <c r="T164" s="257">
        <v>4316.7</v>
      </c>
      <c r="U164" s="257">
        <f>3675.9+8716.5-240-810</f>
        <v>11342.4</v>
      </c>
      <c r="V164" s="257">
        <v>0</v>
      </c>
      <c r="W164" s="257">
        <v>0</v>
      </c>
      <c r="X164" s="257">
        <v>0</v>
      </c>
      <c r="Y164" s="257">
        <v>18300</v>
      </c>
      <c r="Z164" s="257">
        <f t="shared" si="266"/>
        <v>18300</v>
      </c>
    </row>
    <row r="165" spans="1:26" ht="31.5" customHeight="1" x14ac:dyDescent="0.2">
      <c r="A165" s="273" t="s">
        <v>900</v>
      </c>
      <c r="B165" s="252" t="s">
        <v>130</v>
      </c>
      <c r="C165" s="252" t="s">
        <v>202</v>
      </c>
      <c r="D165" s="252" t="s">
        <v>192</v>
      </c>
      <c r="E165" s="251" t="s">
        <v>1254</v>
      </c>
      <c r="F165" s="252" t="s">
        <v>899</v>
      </c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>
        <f>18623.3-7382.6-9472</f>
        <v>1768.6999999999989</v>
      </c>
      <c r="T165" s="257">
        <v>4316.7</v>
      </c>
      <c r="U165" s="257">
        <f>3675.9+8716.5-240-810</f>
        <v>11342.4</v>
      </c>
      <c r="V165" s="257">
        <v>0</v>
      </c>
      <c r="W165" s="257">
        <v>0</v>
      </c>
      <c r="X165" s="257">
        <v>0</v>
      </c>
      <c r="Y165" s="257">
        <v>5492.8000000000029</v>
      </c>
      <c r="Z165" s="257">
        <f t="shared" si="266"/>
        <v>5492.8000000000029</v>
      </c>
    </row>
    <row r="166" spans="1:26" ht="17.25" customHeight="1" x14ac:dyDescent="0.2">
      <c r="A166" s="259" t="s">
        <v>952</v>
      </c>
      <c r="B166" s="252" t="s">
        <v>130</v>
      </c>
      <c r="C166" s="252" t="s">
        <v>202</v>
      </c>
      <c r="D166" s="252" t="s">
        <v>192</v>
      </c>
      <c r="E166" s="252" t="s">
        <v>784</v>
      </c>
      <c r="F166" s="252" t="s">
        <v>919</v>
      </c>
      <c r="G166" s="257"/>
      <c r="H166" s="257">
        <v>261</v>
      </c>
      <c r="I166" s="257">
        <v>0</v>
      </c>
      <c r="J166" s="257">
        <f t="shared" ref="J166:J177" si="267">H166+I166</f>
        <v>261</v>
      </c>
      <c r="K166" s="257">
        <v>0</v>
      </c>
      <c r="L166" s="257">
        <v>200</v>
      </c>
      <c r="M166" s="257">
        <v>200</v>
      </c>
      <c r="N166" s="257">
        <v>0</v>
      </c>
      <c r="O166" s="257">
        <f t="shared" ref="O166:O170" si="268">M166+N166</f>
        <v>200</v>
      </c>
      <c r="P166" s="257">
        <v>200</v>
      </c>
      <c r="Q166" s="257">
        <v>0</v>
      </c>
      <c r="R166" s="257">
        <f t="shared" ref="R166:R170" si="269">P166+Q166</f>
        <v>200</v>
      </c>
      <c r="S166" s="257">
        <v>0</v>
      </c>
      <c r="T166" s="257">
        <f t="shared" ref="T166:T167" si="270">R166+S166</f>
        <v>200</v>
      </c>
      <c r="U166" s="257">
        <v>0</v>
      </c>
      <c r="V166" s="257">
        <v>200</v>
      </c>
      <c r="W166" s="257">
        <v>0</v>
      </c>
      <c r="X166" s="257">
        <v>0</v>
      </c>
      <c r="Y166" s="257">
        <v>200</v>
      </c>
      <c r="Z166" s="257">
        <f t="shared" si="266"/>
        <v>200</v>
      </c>
    </row>
    <row r="167" spans="1:26" ht="17.25" customHeight="1" x14ac:dyDescent="0.2">
      <c r="A167" s="259" t="s">
        <v>93</v>
      </c>
      <c r="B167" s="252" t="s">
        <v>130</v>
      </c>
      <c r="C167" s="252" t="s">
        <v>202</v>
      </c>
      <c r="D167" s="252" t="s">
        <v>192</v>
      </c>
      <c r="E167" s="252" t="s">
        <v>784</v>
      </c>
      <c r="F167" s="252" t="s">
        <v>94</v>
      </c>
      <c r="G167" s="257"/>
      <c r="H167" s="257">
        <v>1500</v>
      </c>
      <c r="I167" s="257">
        <v>0</v>
      </c>
      <c r="J167" s="257">
        <f t="shared" si="267"/>
        <v>1500</v>
      </c>
      <c r="K167" s="257">
        <v>-395.6</v>
      </c>
      <c r="L167" s="257">
        <v>1200</v>
      </c>
      <c r="M167" s="257">
        <v>1200</v>
      </c>
      <c r="N167" s="257">
        <v>-100</v>
      </c>
      <c r="O167" s="257">
        <f t="shared" si="268"/>
        <v>1100</v>
      </c>
      <c r="P167" s="257">
        <v>1100</v>
      </c>
      <c r="Q167" s="257">
        <v>0</v>
      </c>
      <c r="R167" s="257">
        <f t="shared" si="269"/>
        <v>1100</v>
      </c>
      <c r="S167" s="257">
        <v>0</v>
      </c>
      <c r="T167" s="257">
        <f t="shared" si="270"/>
        <v>1100</v>
      </c>
      <c r="U167" s="257">
        <v>-118</v>
      </c>
      <c r="V167" s="257">
        <v>1100</v>
      </c>
      <c r="W167" s="257">
        <f>50+1000</f>
        <v>1050</v>
      </c>
      <c r="X167" s="257">
        <v>0</v>
      </c>
      <c r="Y167" s="257">
        <v>15154.16</v>
      </c>
      <c r="Z167" s="257">
        <f t="shared" si="266"/>
        <v>15154.16</v>
      </c>
    </row>
    <row r="168" spans="1:26" ht="17.25" customHeight="1" x14ac:dyDescent="0.2">
      <c r="A168" s="259" t="s">
        <v>1167</v>
      </c>
      <c r="B168" s="252" t="s">
        <v>130</v>
      </c>
      <c r="C168" s="252" t="s">
        <v>202</v>
      </c>
      <c r="D168" s="252" t="s">
        <v>192</v>
      </c>
      <c r="E168" s="252" t="s">
        <v>784</v>
      </c>
      <c r="F168" s="252" t="s">
        <v>1166</v>
      </c>
      <c r="G168" s="257"/>
      <c r="H168" s="257">
        <v>1500</v>
      </c>
      <c r="I168" s="257">
        <v>0</v>
      </c>
      <c r="J168" s="257">
        <f t="shared" si="267"/>
        <v>1500</v>
      </c>
      <c r="K168" s="257">
        <v>-395.6</v>
      </c>
      <c r="L168" s="257">
        <v>1200</v>
      </c>
      <c r="M168" s="257">
        <v>1200</v>
      </c>
      <c r="N168" s="257">
        <v>-100</v>
      </c>
      <c r="O168" s="257">
        <f t="shared" si="268"/>
        <v>1100</v>
      </c>
      <c r="P168" s="257">
        <v>1100</v>
      </c>
      <c r="Q168" s="257">
        <v>0</v>
      </c>
      <c r="R168" s="257">
        <f t="shared" si="269"/>
        <v>1100</v>
      </c>
      <c r="S168" s="257">
        <v>0</v>
      </c>
      <c r="T168" s="257">
        <v>0</v>
      </c>
      <c r="U168" s="257">
        <v>118</v>
      </c>
      <c r="V168" s="257">
        <v>0</v>
      </c>
      <c r="W168" s="257">
        <v>118</v>
      </c>
      <c r="X168" s="257">
        <v>0</v>
      </c>
      <c r="Y168" s="257">
        <v>6570</v>
      </c>
      <c r="Z168" s="257">
        <f t="shared" si="266"/>
        <v>6570</v>
      </c>
    </row>
    <row r="169" spans="1:26" ht="17.25" customHeight="1" x14ac:dyDescent="0.2">
      <c r="A169" s="259" t="s">
        <v>103</v>
      </c>
      <c r="B169" s="252" t="s">
        <v>130</v>
      </c>
      <c r="C169" s="252" t="s">
        <v>202</v>
      </c>
      <c r="D169" s="252" t="s">
        <v>192</v>
      </c>
      <c r="E169" s="252" t="s">
        <v>784</v>
      </c>
      <c r="F169" s="252" t="s">
        <v>104</v>
      </c>
      <c r="G169" s="257"/>
      <c r="H169" s="257">
        <v>40</v>
      </c>
      <c r="I169" s="257">
        <v>0</v>
      </c>
      <c r="J169" s="257">
        <f t="shared" si="267"/>
        <v>40</v>
      </c>
      <c r="K169" s="257">
        <v>0</v>
      </c>
      <c r="L169" s="257">
        <f>I169+J169</f>
        <v>40</v>
      </c>
      <c r="M169" s="257">
        <f>J169+K169</f>
        <v>40</v>
      </c>
      <c r="N169" s="257">
        <v>0</v>
      </c>
      <c r="O169" s="257">
        <f t="shared" si="268"/>
        <v>40</v>
      </c>
      <c r="P169" s="257">
        <f t="shared" ref="P169" si="271">M169+N169</f>
        <v>40</v>
      </c>
      <c r="Q169" s="257">
        <v>0</v>
      </c>
      <c r="R169" s="257">
        <f t="shared" si="269"/>
        <v>40</v>
      </c>
      <c r="S169" s="257">
        <v>310</v>
      </c>
      <c r="T169" s="257">
        <f t="shared" ref="T169:T174" si="272">R169+S169</f>
        <v>350</v>
      </c>
      <c r="U169" s="257">
        <v>0</v>
      </c>
      <c r="V169" s="257">
        <v>350</v>
      </c>
      <c r="W169" s="257">
        <v>0</v>
      </c>
      <c r="X169" s="257">
        <v>0</v>
      </c>
      <c r="Y169" s="257">
        <v>5750</v>
      </c>
      <c r="Z169" s="257">
        <f t="shared" si="266"/>
        <v>5750</v>
      </c>
    </row>
    <row r="170" spans="1:26" ht="17.25" customHeight="1" x14ac:dyDescent="0.2">
      <c r="A170" s="259" t="s">
        <v>400</v>
      </c>
      <c r="B170" s="252" t="s">
        <v>130</v>
      </c>
      <c r="C170" s="252" t="s">
        <v>202</v>
      </c>
      <c r="D170" s="252" t="s">
        <v>192</v>
      </c>
      <c r="E170" s="252" t="s">
        <v>784</v>
      </c>
      <c r="F170" s="252" t="s">
        <v>106</v>
      </c>
      <c r="G170" s="257"/>
      <c r="H170" s="257">
        <v>60</v>
      </c>
      <c r="I170" s="257">
        <v>0</v>
      </c>
      <c r="J170" s="257">
        <f t="shared" si="267"/>
        <v>60</v>
      </c>
      <c r="K170" s="257">
        <v>-0.15</v>
      </c>
      <c r="L170" s="257">
        <v>60</v>
      </c>
      <c r="M170" s="257">
        <v>60</v>
      </c>
      <c r="N170" s="257">
        <v>0</v>
      </c>
      <c r="O170" s="257">
        <f t="shared" si="268"/>
        <v>60</v>
      </c>
      <c r="P170" s="257">
        <v>60</v>
      </c>
      <c r="Q170" s="257">
        <v>0</v>
      </c>
      <c r="R170" s="257">
        <f t="shared" si="269"/>
        <v>60</v>
      </c>
      <c r="S170" s="257">
        <v>-30</v>
      </c>
      <c r="T170" s="257">
        <f t="shared" si="272"/>
        <v>30</v>
      </c>
      <c r="U170" s="257">
        <v>0</v>
      </c>
      <c r="V170" s="257">
        <v>30</v>
      </c>
      <c r="W170" s="257">
        <v>0</v>
      </c>
      <c r="X170" s="257">
        <v>0</v>
      </c>
      <c r="Y170" s="257">
        <v>120</v>
      </c>
      <c r="Z170" s="257">
        <f t="shared" si="266"/>
        <v>120</v>
      </c>
    </row>
    <row r="171" spans="1:26" ht="17.25" customHeight="1" x14ac:dyDescent="0.2">
      <c r="A171" s="259" t="s">
        <v>93</v>
      </c>
      <c r="B171" s="252" t="s">
        <v>130</v>
      </c>
      <c r="C171" s="252" t="s">
        <v>202</v>
      </c>
      <c r="D171" s="252" t="s">
        <v>192</v>
      </c>
      <c r="E171" s="252" t="s">
        <v>1310</v>
      </c>
      <c r="F171" s="252" t="s">
        <v>94</v>
      </c>
      <c r="G171" s="257"/>
      <c r="H171" s="257">
        <v>1500</v>
      </c>
      <c r="I171" s="257">
        <v>0</v>
      </c>
      <c r="J171" s="257">
        <f t="shared" ref="J171" si="273">H171+I171</f>
        <v>1500</v>
      </c>
      <c r="K171" s="257">
        <v>-395.6</v>
      </c>
      <c r="L171" s="257">
        <v>1200</v>
      </c>
      <c r="M171" s="257">
        <v>1200</v>
      </c>
      <c r="N171" s="257">
        <v>-100</v>
      </c>
      <c r="O171" s="257">
        <f t="shared" ref="O171" si="274">M171+N171</f>
        <v>1100</v>
      </c>
      <c r="P171" s="257">
        <v>1100</v>
      </c>
      <c r="Q171" s="257">
        <v>0</v>
      </c>
      <c r="R171" s="257">
        <f t="shared" ref="R171" si="275">P171+Q171</f>
        <v>1100</v>
      </c>
      <c r="S171" s="257">
        <v>0</v>
      </c>
      <c r="T171" s="257">
        <f t="shared" si="272"/>
        <v>1100</v>
      </c>
      <c r="U171" s="257">
        <v>-118</v>
      </c>
      <c r="V171" s="257">
        <v>1100</v>
      </c>
      <c r="W171" s="257">
        <f>50+1000</f>
        <v>1050</v>
      </c>
      <c r="X171" s="257">
        <v>0</v>
      </c>
      <c r="Y171" s="257">
        <v>4000</v>
      </c>
      <c r="Z171" s="257">
        <f t="shared" ref="Z171" si="276">X171+Y171</f>
        <v>4000</v>
      </c>
    </row>
    <row r="172" spans="1:26" ht="78" customHeight="1" x14ac:dyDescent="0.2">
      <c r="A172" s="259" t="s">
        <v>942</v>
      </c>
      <c r="B172" s="252" t="s">
        <v>130</v>
      </c>
      <c r="C172" s="252" t="s">
        <v>202</v>
      </c>
      <c r="D172" s="252" t="s">
        <v>192</v>
      </c>
      <c r="E172" s="251" t="s">
        <v>1264</v>
      </c>
      <c r="F172" s="252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/>
      <c r="X172" s="257">
        <f>X173+X174</f>
        <v>0</v>
      </c>
      <c r="Y172" s="257">
        <f>Y173+Y174+Y175</f>
        <v>287628.3</v>
      </c>
      <c r="Z172" s="257">
        <f>Z173+Z174+Z175</f>
        <v>287628.3</v>
      </c>
    </row>
    <row r="173" spans="1:26" ht="17.25" customHeight="1" x14ac:dyDescent="0.2">
      <c r="A173" s="375" t="s">
        <v>897</v>
      </c>
      <c r="B173" s="252" t="s">
        <v>130</v>
      </c>
      <c r="C173" s="252" t="s">
        <v>202</v>
      </c>
      <c r="D173" s="252" t="s">
        <v>192</v>
      </c>
      <c r="E173" s="251" t="s">
        <v>1264</v>
      </c>
      <c r="F173" s="252" t="s">
        <v>832</v>
      </c>
      <c r="G173" s="257"/>
      <c r="H173" s="257">
        <v>174462.7</v>
      </c>
      <c r="I173" s="257">
        <v>5065</v>
      </c>
      <c r="J173" s="257">
        <f t="shared" si="267"/>
        <v>179527.7</v>
      </c>
      <c r="K173" s="257">
        <v>-3826.2</v>
      </c>
      <c r="L173" s="257">
        <f t="shared" ref="L173:M175" si="277">177297.6-4263</f>
        <v>173034.6</v>
      </c>
      <c r="M173" s="257">
        <f t="shared" si="277"/>
        <v>173034.6</v>
      </c>
      <c r="N173" s="257">
        <f>-30015.8+9254.2</f>
        <v>-20761.599999999999</v>
      </c>
      <c r="O173" s="257">
        <f>M173+N173</f>
        <v>152273</v>
      </c>
      <c r="P173" s="257">
        <f>143018.8+9254.2</f>
        <v>152273</v>
      </c>
      <c r="Q173" s="257">
        <v>36373</v>
      </c>
      <c r="R173" s="257">
        <f>P173+Q173</f>
        <v>188646</v>
      </c>
      <c r="S173" s="257">
        <v>10530</v>
      </c>
      <c r="T173" s="257">
        <f t="shared" si="272"/>
        <v>199176</v>
      </c>
      <c r="U173" s="257">
        <v>2155.9</v>
      </c>
      <c r="V173" s="257">
        <v>199176</v>
      </c>
      <c r="W173" s="257">
        <v>23269.7</v>
      </c>
      <c r="X173" s="257">
        <v>0</v>
      </c>
      <c r="Y173" s="257">
        <v>215075.5</v>
      </c>
      <c r="Z173" s="257">
        <f t="shared" si="266"/>
        <v>215075.5</v>
      </c>
    </row>
    <row r="174" spans="1:26" ht="32.25" customHeight="1" x14ac:dyDescent="0.2">
      <c r="A174" s="273" t="s">
        <v>900</v>
      </c>
      <c r="B174" s="252" t="s">
        <v>130</v>
      </c>
      <c r="C174" s="252" t="s">
        <v>202</v>
      </c>
      <c r="D174" s="252" t="s">
        <v>192</v>
      </c>
      <c r="E174" s="251" t="s">
        <v>1264</v>
      </c>
      <c r="F174" s="252" t="s">
        <v>899</v>
      </c>
      <c r="G174" s="257"/>
      <c r="H174" s="257">
        <v>174462.7</v>
      </c>
      <c r="I174" s="257">
        <v>5065</v>
      </c>
      <c r="J174" s="257">
        <f t="shared" si="267"/>
        <v>179527.7</v>
      </c>
      <c r="K174" s="257">
        <v>-3826.2</v>
      </c>
      <c r="L174" s="257">
        <f t="shared" si="277"/>
        <v>173034.6</v>
      </c>
      <c r="M174" s="257">
        <f t="shared" si="277"/>
        <v>173034.6</v>
      </c>
      <c r="N174" s="257">
        <f>-30015.8+9254.2</f>
        <v>-20761.599999999999</v>
      </c>
      <c r="O174" s="257">
        <f>M174+N174</f>
        <v>152273</v>
      </c>
      <c r="P174" s="257">
        <f>143018.8+9254.2</f>
        <v>152273</v>
      </c>
      <c r="Q174" s="257">
        <v>36373</v>
      </c>
      <c r="R174" s="257">
        <f>P174+Q174</f>
        <v>188646</v>
      </c>
      <c r="S174" s="257">
        <v>10530</v>
      </c>
      <c r="T174" s="257">
        <f t="shared" si="272"/>
        <v>199176</v>
      </c>
      <c r="U174" s="257">
        <v>2155.9</v>
      </c>
      <c r="V174" s="257">
        <v>199176</v>
      </c>
      <c r="W174" s="257">
        <v>23269.7</v>
      </c>
      <c r="X174" s="257">
        <v>0</v>
      </c>
      <c r="Y174" s="257">
        <v>64952.800000000003</v>
      </c>
      <c r="Z174" s="257">
        <f t="shared" si="266"/>
        <v>64952.800000000003</v>
      </c>
    </row>
    <row r="175" spans="1:26" ht="32.25" customHeight="1" x14ac:dyDescent="0.2">
      <c r="A175" s="273" t="s">
        <v>93</v>
      </c>
      <c r="B175" s="252" t="s">
        <v>130</v>
      </c>
      <c r="C175" s="252" t="s">
        <v>202</v>
      </c>
      <c r="D175" s="252" t="s">
        <v>192</v>
      </c>
      <c r="E175" s="251" t="s">
        <v>1264</v>
      </c>
      <c r="F175" s="252" t="s">
        <v>94</v>
      </c>
      <c r="G175" s="257"/>
      <c r="H175" s="257">
        <v>174462.7</v>
      </c>
      <c r="I175" s="257">
        <v>5065</v>
      </c>
      <c r="J175" s="257">
        <f t="shared" ref="J175" si="278">H175+I175</f>
        <v>179527.7</v>
      </c>
      <c r="K175" s="257">
        <v>-3826.2</v>
      </c>
      <c r="L175" s="257">
        <f t="shared" si="277"/>
        <v>173034.6</v>
      </c>
      <c r="M175" s="257">
        <f t="shared" si="277"/>
        <v>173034.6</v>
      </c>
      <c r="N175" s="257">
        <f>-30015.8+9254.2</f>
        <v>-20761.599999999999</v>
      </c>
      <c r="O175" s="257">
        <f>M175+N175</f>
        <v>152273</v>
      </c>
      <c r="P175" s="257">
        <f>143018.8+9254.2</f>
        <v>152273</v>
      </c>
      <c r="Q175" s="257">
        <v>36373</v>
      </c>
      <c r="R175" s="257">
        <f>P175+Q175</f>
        <v>188646</v>
      </c>
      <c r="S175" s="257">
        <v>10530</v>
      </c>
      <c r="T175" s="257">
        <f t="shared" ref="T175" si="279">R175+S175</f>
        <v>199176</v>
      </c>
      <c r="U175" s="257">
        <v>2155.9</v>
      </c>
      <c r="V175" s="257">
        <v>199176</v>
      </c>
      <c r="W175" s="257">
        <v>23269.7</v>
      </c>
      <c r="X175" s="257">
        <v>0</v>
      </c>
      <c r="Y175" s="257">
        <v>7600</v>
      </c>
      <c r="Z175" s="257">
        <f t="shared" ref="Z175" si="280">X175+Y175</f>
        <v>7600</v>
      </c>
    </row>
    <row r="176" spans="1:26" ht="32.25" customHeight="1" x14ac:dyDescent="0.2">
      <c r="A176" s="259" t="s">
        <v>1242</v>
      </c>
      <c r="B176" s="252" t="s">
        <v>130</v>
      </c>
      <c r="C176" s="252" t="s">
        <v>202</v>
      </c>
      <c r="D176" s="252" t="s">
        <v>192</v>
      </c>
      <c r="E176" s="251" t="s">
        <v>1243</v>
      </c>
      <c r="F176" s="252"/>
      <c r="G176" s="257"/>
      <c r="H176" s="257">
        <f>H177</f>
        <v>1736</v>
      </c>
      <c r="I176" s="257">
        <f>I177</f>
        <v>0</v>
      </c>
      <c r="J176" s="257">
        <f t="shared" si="267"/>
        <v>1736</v>
      </c>
      <c r="K176" s="257">
        <f>K177</f>
        <v>0</v>
      </c>
      <c r="L176" s="257">
        <f>L177</f>
        <v>1667.6</v>
      </c>
      <c r="M176" s="257">
        <f>M177</f>
        <v>1667.6</v>
      </c>
      <c r="N176" s="257">
        <f t="shared" ref="N176:Q176" si="281">N177</f>
        <v>-647.6</v>
      </c>
      <c r="O176" s="257">
        <f t="shared" si="281"/>
        <v>1019.9999999999999</v>
      </c>
      <c r="P176" s="257">
        <f t="shared" si="281"/>
        <v>1020</v>
      </c>
      <c r="Q176" s="257">
        <f t="shared" si="281"/>
        <v>-117.5</v>
      </c>
      <c r="R176" s="257">
        <f>R177+R179</f>
        <v>902.5</v>
      </c>
      <c r="S176" s="257">
        <f t="shared" ref="S176:W176" si="282">S177+S179</f>
        <v>1902</v>
      </c>
      <c r="T176" s="257">
        <f t="shared" si="282"/>
        <v>2776.4</v>
      </c>
      <c r="U176" s="257">
        <f t="shared" si="282"/>
        <v>-2776.4</v>
      </c>
      <c r="V176" s="257">
        <f t="shared" si="282"/>
        <v>0</v>
      </c>
      <c r="W176" s="257">
        <f t="shared" si="282"/>
        <v>0</v>
      </c>
      <c r="X176" s="257">
        <f>X177+X178+X179+X180</f>
        <v>0</v>
      </c>
      <c r="Y176" s="257">
        <f t="shared" ref="Y176:Z176" si="283">Y177+Y179+Y178+Y180</f>
        <v>1615.5600000000002</v>
      </c>
      <c r="Z176" s="257">
        <f t="shared" si="283"/>
        <v>1615.5600000000002</v>
      </c>
    </row>
    <row r="177" spans="1:26" ht="20.25" customHeight="1" x14ac:dyDescent="0.2">
      <c r="A177" s="259" t="s">
        <v>897</v>
      </c>
      <c r="B177" s="252" t="s">
        <v>130</v>
      </c>
      <c r="C177" s="252" t="s">
        <v>202</v>
      </c>
      <c r="D177" s="252" t="s">
        <v>192</v>
      </c>
      <c r="E177" s="251" t="s">
        <v>1243</v>
      </c>
      <c r="F177" s="252" t="s">
        <v>832</v>
      </c>
      <c r="G177" s="257"/>
      <c r="H177" s="257">
        <v>1736</v>
      </c>
      <c r="I177" s="257">
        <v>0</v>
      </c>
      <c r="J177" s="257">
        <f t="shared" si="267"/>
        <v>1736</v>
      </c>
      <c r="K177" s="257">
        <v>0</v>
      </c>
      <c r="L177" s="257">
        <v>1667.6</v>
      </c>
      <c r="M177" s="257">
        <v>1667.6</v>
      </c>
      <c r="N177" s="257">
        <v>-647.6</v>
      </c>
      <c r="O177" s="257">
        <f t="shared" ref="O177" si="284">M177+N177</f>
        <v>1019.9999999999999</v>
      </c>
      <c r="P177" s="257">
        <v>1020</v>
      </c>
      <c r="Q177" s="257">
        <v>-117.5</v>
      </c>
      <c r="R177" s="257">
        <f>P177+Q177</f>
        <v>902.5</v>
      </c>
      <c r="S177" s="257">
        <v>1873.9</v>
      </c>
      <c r="T177" s="257">
        <f t="shared" ref="T177" si="285">R177+S177</f>
        <v>2776.4</v>
      </c>
      <c r="U177" s="257">
        <v>-2776.4</v>
      </c>
      <c r="V177" s="257">
        <f t="shared" ref="V177" si="286">T177+U177</f>
        <v>0</v>
      </c>
      <c r="W177" s="257">
        <v>0</v>
      </c>
      <c r="X177" s="257">
        <f t="shared" ref="X177:X180" si="287">V177+W177</f>
        <v>0</v>
      </c>
      <c r="Y177" s="257">
        <v>1228.4000000000001</v>
      </c>
      <c r="Z177" s="257">
        <f t="shared" ref="Z177:Z180" si="288">X177+Y177</f>
        <v>1228.4000000000001</v>
      </c>
    </row>
    <row r="178" spans="1:26" ht="20.25" customHeight="1" x14ac:dyDescent="0.2">
      <c r="A178" s="259" t="s">
        <v>897</v>
      </c>
      <c r="B178" s="252"/>
      <c r="C178" s="252"/>
      <c r="D178" s="252"/>
      <c r="E178" s="251" t="s">
        <v>1243</v>
      </c>
      <c r="F178" s="252" t="s">
        <v>832</v>
      </c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7"/>
      <c r="X178" s="257">
        <f t="shared" si="287"/>
        <v>0</v>
      </c>
      <c r="Y178" s="257">
        <v>12.41</v>
      </c>
      <c r="Z178" s="257">
        <f t="shared" si="288"/>
        <v>12.41</v>
      </c>
    </row>
    <row r="179" spans="1:26" ht="32.25" customHeight="1" x14ac:dyDescent="0.2">
      <c r="A179" s="259" t="s">
        <v>900</v>
      </c>
      <c r="B179" s="252" t="s">
        <v>130</v>
      </c>
      <c r="C179" s="252" t="s">
        <v>202</v>
      </c>
      <c r="D179" s="252" t="s">
        <v>192</v>
      </c>
      <c r="E179" s="251" t="s">
        <v>1243</v>
      </c>
      <c r="F179" s="252" t="s">
        <v>899</v>
      </c>
      <c r="G179" s="257"/>
      <c r="H179" s="257" t="e">
        <f>#REF!</f>
        <v>#REF!</v>
      </c>
      <c r="I179" s="257" t="e">
        <f>#REF!</f>
        <v>#REF!</v>
      </c>
      <c r="J179" s="257" t="e">
        <f t="shared" ref="J179" si="289">H179+I179</f>
        <v>#REF!</v>
      </c>
      <c r="K179" s="257" t="e">
        <f>#REF!</f>
        <v>#REF!</v>
      </c>
      <c r="L179" s="257" t="e">
        <f>#REF!</f>
        <v>#REF!</v>
      </c>
      <c r="M179" s="257" t="e">
        <f>#REF!</f>
        <v>#REF!</v>
      </c>
      <c r="N179" s="257" t="e">
        <f>#REF!</f>
        <v>#REF!</v>
      </c>
      <c r="O179" s="257" t="e">
        <f>#REF!</f>
        <v>#REF!</v>
      </c>
      <c r="P179" s="257" t="e">
        <f>#REF!</f>
        <v>#REF!</v>
      </c>
      <c r="Q179" s="257" t="e">
        <f>#REF!</f>
        <v>#REF!</v>
      </c>
      <c r="R179" s="257">
        <v>0</v>
      </c>
      <c r="S179" s="257">
        <v>28.1</v>
      </c>
      <c r="T179" s="257">
        <v>0</v>
      </c>
      <c r="U179" s="257">
        <v>0</v>
      </c>
      <c r="V179" s="257">
        <f t="shared" ref="V179" si="290">T179+U179</f>
        <v>0</v>
      </c>
      <c r="W179" s="257">
        <v>0</v>
      </c>
      <c r="X179" s="257">
        <f t="shared" si="287"/>
        <v>0</v>
      </c>
      <c r="Y179" s="257">
        <v>371</v>
      </c>
      <c r="Z179" s="257">
        <f t="shared" si="288"/>
        <v>371</v>
      </c>
    </row>
    <row r="180" spans="1:26" ht="32.25" customHeight="1" x14ac:dyDescent="0.2">
      <c r="A180" s="259" t="s">
        <v>900</v>
      </c>
      <c r="B180" s="252" t="s">
        <v>130</v>
      </c>
      <c r="C180" s="252" t="s">
        <v>202</v>
      </c>
      <c r="D180" s="252" t="s">
        <v>192</v>
      </c>
      <c r="E180" s="251" t="s">
        <v>1243</v>
      </c>
      <c r="F180" s="252" t="s">
        <v>899</v>
      </c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>
        <f t="shared" si="287"/>
        <v>0</v>
      </c>
      <c r="Y180" s="257">
        <v>3.75</v>
      </c>
      <c r="Z180" s="257">
        <f t="shared" si="288"/>
        <v>3.75</v>
      </c>
    </row>
    <row r="181" spans="1:26" ht="45.75" customHeight="1" x14ac:dyDescent="0.2">
      <c r="A181" s="259" t="s">
        <v>1161</v>
      </c>
      <c r="B181" s="252" t="s">
        <v>130</v>
      </c>
      <c r="C181" s="252" t="s">
        <v>202</v>
      </c>
      <c r="D181" s="252" t="s">
        <v>192</v>
      </c>
      <c r="E181" s="251" t="s">
        <v>1162</v>
      </c>
      <c r="F181" s="252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 t="e">
        <f>#REF!</f>
        <v>#REF!</v>
      </c>
      <c r="U181" s="257" t="e">
        <f>#REF!</f>
        <v>#REF!</v>
      </c>
      <c r="V181" s="257" t="e">
        <f>#REF!</f>
        <v>#REF!</v>
      </c>
      <c r="W181" s="257" t="e">
        <f>#REF!</f>
        <v>#REF!</v>
      </c>
      <c r="X181" s="257">
        <f>X182+X183</f>
        <v>0</v>
      </c>
      <c r="Y181" s="257">
        <f t="shared" ref="Y181:Z181" si="291">Y182+Y183</f>
        <v>25682.3</v>
      </c>
      <c r="Z181" s="257">
        <f t="shared" si="291"/>
        <v>25682.3</v>
      </c>
    </row>
    <row r="182" spans="1:26" ht="20.25" customHeight="1" x14ac:dyDescent="0.2">
      <c r="A182" s="375" t="s">
        <v>897</v>
      </c>
      <c r="B182" s="252" t="s">
        <v>130</v>
      </c>
      <c r="C182" s="252" t="s">
        <v>202</v>
      </c>
      <c r="D182" s="252" t="s">
        <v>192</v>
      </c>
      <c r="E182" s="251" t="s">
        <v>1162</v>
      </c>
      <c r="F182" s="252" t="s">
        <v>832</v>
      </c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  <c r="T182" s="257">
        <v>0</v>
      </c>
      <c r="U182" s="257">
        <v>25000</v>
      </c>
      <c r="V182" s="257">
        <v>25000</v>
      </c>
      <c r="W182" s="257">
        <v>-127.8</v>
      </c>
      <c r="X182" s="257">
        <v>0</v>
      </c>
      <c r="Y182" s="257">
        <v>19725.3</v>
      </c>
      <c r="Z182" s="257">
        <f>X182+Y182</f>
        <v>19725.3</v>
      </c>
    </row>
    <row r="183" spans="1:26" ht="32.25" customHeight="1" x14ac:dyDescent="0.2">
      <c r="A183" s="273" t="s">
        <v>900</v>
      </c>
      <c r="B183" s="252" t="s">
        <v>130</v>
      </c>
      <c r="C183" s="252" t="s">
        <v>202</v>
      </c>
      <c r="D183" s="252" t="s">
        <v>192</v>
      </c>
      <c r="E183" s="251" t="s">
        <v>1162</v>
      </c>
      <c r="F183" s="252" t="s">
        <v>899</v>
      </c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>
        <v>0</v>
      </c>
      <c r="U183" s="257">
        <v>25000</v>
      </c>
      <c r="V183" s="257">
        <v>25000</v>
      </c>
      <c r="W183" s="257">
        <v>-127.8</v>
      </c>
      <c r="X183" s="257">
        <v>0</v>
      </c>
      <c r="Y183" s="257">
        <v>5957</v>
      </c>
      <c r="Z183" s="257">
        <f>X183+Y183</f>
        <v>5957</v>
      </c>
    </row>
    <row r="184" spans="1:26" ht="32.25" customHeight="1" x14ac:dyDescent="0.2">
      <c r="A184" s="259" t="s">
        <v>1297</v>
      </c>
      <c r="B184" s="252" t="s">
        <v>130</v>
      </c>
      <c r="C184" s="252" t="s">
        <v>202</v>
      </c>
      <c r="D184" s="252" t="s">
        <v>192</v>
      </c>
      <c r="E184" s="251" t="s">
        <v>1298</v>
      </c>
      <c r="F184" s="252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7"/>
      <c r="V184" s="257"/>
      <c r="W184" s="257"/>
      <c r="X184" s="257">
        <f>X185+X186</f>
        <v>0</v>
      </c>
      <c r="Y184" s="257">
        <f t="shared" ref="Y184:Z184" si="292">Y185+Y186</f>
        <v>3234.1</v>
      </c>
      <c r="Z184" s="257">
        <f t="shared" si="292"/>
        <v>3234.1</v>
      </c>
    </row>
    <row r="185" spans="1:26" ht="18" customHeight="1" x14ac:dyDescent="0.2">
      <c r="A185" s="273" t="s">
        <v>897</v>
      </c>
      <c r="B185" s="252" t="s">
        <v>130</v>
      </c>
      <c r="C185" s="252" t="s">
        <v>202</v>
      </c>
      <c r="D185" s="252" t="s">
        <v>192</v>
      </c>
      <c r="E185" s="251" t="s">
        <v>1298</v>
      </c>
      <c r="F185" s="252" t="s">
        <v>832</v>
      </c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>
        <v>0</v>
      </c>
      <c r="Y185" s="257">
        <v>2484</v>
      </c>
      <c r="Z185" s="257">
        <f>X185+Y185</f>
        <v>2484</v>
      </c>
    </row>
    <row r="186" spans="1:26" ht="32.25" customHeight="1" x14ac:dyDescent="0.2">
      <c r="A186" s="273" t="s">
        <v>900</v>
      </c>
      <c r="B186" s="252" t="s">
        <v>130</v>
      </c>
      <c r="C186" s="252" t="s">
        <v>202</v>
      </c>
      <c r="D186" s="252" t="s">
        <v>192</v>
      </c>
      <c r="E186" s="251" t="s">
        <v>1298</v>
      </c>
      <c r="F186" s="252" t="s">
        <v>899</v>
      </c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  <c r="X186" s="257">
        <v>0</v>
      </c>
      <c r="Y186" s="257">
        <v>750.1</v>
      </c>
      <c r="Z186" s="257">
        <f>X186+Y186</f>
        <v>750.1</v>
      </c>
    </row>
    <row r="187" spans="1:26" ht="49.5" customHeight="1" x14ac:dyDescent="0.2">
      <c r="A187" s="259" t="s">
        <v>1238</v>
      </c>
      <c r="B187" s="252" t="s">
        <v>130</v>
      </c>
      <c r="C187" s="252" t="s">
        <v>202</v>
      </c>
      <c r="D187" s="252" t="s">
        <v>192</v>
      </c>
      <c r="E187" s="251" t="s">
        <v>1246</v>
      </c>
      <c r="F187" s="252"/>
      <c r="G187" s="257"/>
      <c r="H187" s="257">
        <v>1736</v>
      </c>
      <c r="I187" s="257">
        <v>0</v>
      </c>
      <c r="J187" s="257">
        <v>1736</v>
      </c>
      <c r="K187" s="257">
        <v>0</v>
      </c>
      <c r="L187" s="257">
        <v>1667.6</v>
      </c>
      <c r="M187" s="257">
        <v>1667.6</v>
      </c>
      <c r="N187" s="257">
        <v>-647.6</v>
      </c>
      <c r="O187" s="257">
        <v>1019.9999999999999</v>
      </c>
      <c r="P187" s="257">
        <v>1020</v>
      </c>
      <c r="Q187" s="257">
        <v>-117.5</v>
      </c>
      <c r="R187" s="257">
        <v>902.5</v>
      </c>
      <c r="S187" s="257">
        <v>1902</v>
      </c>
      <c r="T187" s="257">
        <f>T188+T189</f>
        <v>0</v>
      </c>
      <c r="U187" s="257">
        <f t="shared" ref="U187:W187" si="293">U188+U189</f>
        <v>2075.25</v>
      </c>
      <c r="V187" s="257">
        <f t="shared" si="293"/>
        <v>2075.25</v>
      </c>
      <c r="W187" s="257">
        <f t="shared" si="293"/>
        <v>1233.9499999999998</v>
      </c>
      <c r="X187" s="257">
        <f>X188+X189</f>
        <v>0</v>
      </c>
      <c r="Y187" s="257">
        <f t="shared" ref="Y187:Z187" si="294">Y188+Y189</f>
        <v>420.2</v>
      </c>
      <c r="Z187" s="257">
        <f t="shared" si="294"/>
        <v>420.2</v>
      </c>
    </row>
    <row r="188" spans="1:26" ht="21" customHeight="1" x14ac:dyDescent="0.2">
      <c r="A188" s="259" t="s">
        <v>93</v>
      </c>
      <c r="B188" s="252" t="s">
        <v>130</v>
      </c>
      <c r="C188" s="252" t="s">
        <v>202</v>
      </c>
      <c r="D188" s="252" t="s">
        <v>192</v>
      </c>
      <c r="E188" s="251" t="s">
        <v>1246</v>
      </c>
      <c r="F188" s="252" t="s">
        <v>94</v>
      </c>
      <c r="G188" s="257"/>
      <c r="H188" s="257">
        <v>1736</v>
      </c>
      <c r="I188" s="257">
        <v>0</v>
      </c>
      <c r="J188" s="257">
        <v>1736</v>
      </c>
      <c r="K188" s="257">
        <v>0</v>
      </c>
      <c r="L188" s="257">
        <v>1667.6</v>
      </c>
      <c r="M188" s="257">
        <v>1667.6</v>
      </c>
      <c r="N188" s="257">
        <v>-647.6</v>
      </c>
      <c r="O188" s="257">
        <v>1019.9999999999999</v>
      </c>
      <c r="P188" s="257">
        <v>1020</v>
      </c>
      <c r="Q188" s="257">
        <v>-117.5</v>
      </c>
      <c r="R188" s="257">
        <v>902.5</v>
      </c>
      <c r="S188" s="257">
        <v>1873.9</v>
      </c>
      <c r="T188" s="257">
        <v>0</v>
      </c>
      <c r="U188" s="257">
        <v>2054.5</v>
      </c>
      <c r="V188" s="257">
        <v>2054.5</v>
      </c>
      <c r="W188" s="257">
        <v>1221.5999999999999</v>
      </c>
      <c r="X188" s="257">
        <v>0</v>
      </c>
      <c r="Y188" s="257">
        <v>416</v>
      </c>
      <c r="Z188" s="257">
        <f>X188+Y188</f>
        <v>416</v>
      </c>
    </row>
    <row r="189" spans="1:26" ht="21" customHeight="1" x14ac:dyDescent="0.2">
      <c r="A189" s="259" t="s">
        <v>93</v>
      </c>
      <c r="B189" s="252" t="s">
        <v>130</v>
      </c>
      <c r="C189" s="252" t="s">
        <v>202</v>
      </c>
      <c r="D189" s="252" t="s">
        <v>192</v>
      </c>
      <c r="E189" s="251" t="s">
        <v>1246</v>
      </c>
      <c r="F189" s="252" t="s">
        <v>94</v>
      </c>
      <c r="G189" s="257"/>
      <c r="H189" s="257" t="e">
        <v>#REF!</v>
      </c>
      <c r="I189" s="257" t="e">
        <v>#REF!</v>
      </c>
      <c r="J189" s="257" t="e">
        <v>#REF!</v>
      </c>
      <c r="K189" s="257" t="e">
        <v>#REF!</v>
      </c>
      <c r="L189" s="257" t="e">
        <v>#REF!</v>
      </c>
      <c r="M189" s="257" t="e">
        <v>#REF!</v>
      </c>
      <c r="N189" s="257" t="e">
        <v>#REF!</v>
      </c>
      <c r="O189" s="257" t="e">
        <v>#REF!</v>
      </c>
      <c r="P189" s="257" t="e">
        <v>#REF!</v>
      </c>
      <c r="Q189" s="257" t="e">
        <v>#REF!</v>
      </c>
      <c r="R189" s="257">
        <v>0</v>
      </c>
      <c r="S189" s="257">
        <v>28.1</v>
      </c>
      <c r="T189" s="257">
        <v>0</v>
      </c>
      <c r="U189" s="257">
        <v>20.75</v>
      </c>
      <c r="V189" s="257">
        <v>20.75</v>
      </c>
      <c r="W189" s="257">
        <v>12.35</v>
      </c>
      <c r="X189" s="257">
        <v>0</v>
      </c>
      <c r="Y189" s="257">
        <v>4.1999999999999993</v>
      </c>
      <c r="Z189" s="257">
        <f>X189+Y189</f>
        <v>4.1999999999999993</v>
      </c>
    </row>
    <row r="190" spans="1:26" ht="48.75" customHeight="1" x14ac:dyDescent="0.2">
      <c r="A190" s="259" t="s">
        <v>1237</v>
      </c>
      <c r="B190" s="252" t="s">
        <v>130</v>
      </c>
      <c r="C190" s="252" t="s">
        <v>202</v>
      </c>
      <c r="D190" s="252" t="s">
        <v>192</v>
      </c>
      <c r="E190" s="251" t="s">
        <v>1247</v>
      </c>
      <c r="F190" s="252"/>
      <c r="G190" s="257"/>
      <c r="H190" s="257">
        <v>1736</v>
      </c>
      <c r="I190" s="257">
        <v>0</v>
      </c>
      <c r="J190" s="257">
        <v>1736</v>
      </c>
      <c r="K190" s="257">
        <v>0</v>
      </c>
      <c r="L190" s="257">
        <v>1667.6</v>
      </c>
      <c r="M190" s="257">
        <v>1667.6</v>
      </c>
      <c r="N190" s="257">
        <v>-647.6</v>
      </c>
      <c r="O190" s="257">
        <v>1019.9999999999999</v>
      </c>
      <c r="P190" s="257">
        <v>1020</v>
      </c>
      <c r="Q190" s="257">
        <v>-117.5</v>
      </c>
      <c r="R190" s="257">
        <v>902.5</v>
      </c>
      <c r="S190" s="257">
        <v>1902</v>
      </c>
      <c r="T190" s="257">
        <f>T191+T192</f>
        <v>0</v>
      </c>
      <c r="U190" s="257">
        <f t="shared" ref="U190:Z190" si="295">U191+U192</f>
        <v>2075.25</v>
      </c>
      <c r="V190" s="257">
        <f t="shared" si="295"/>
        <v>2075.25</v>
      </c>
      <c r="W190" s="257">
        <f t="shared" si="295"/>
        <v>1233.9499999999998</v>
      </c>
      <c r="X190" s="257">
        <f>X191+X192</f>
        <v>0</v>
      </c>
      <c r="Y190" s="257">
        <f t="shared" si="295"/>
        <v>664.04</v>
      </c>
      <c r="Z190" s="257">
        <f t="shared" si="295"/>
        <v>664.04</v>
      </c>
    </row>
    <row r="191" spans="1:26" ht="14.25" customHeight="1" x14ac:dyDescent="0.2">
      <c r="A191" s="259" t="s">
        <v>93</v>
      </c>
      <c r="B191" s="252" t="s">
        <v>130</v>
      </c>
      <c r="C191" s="252" t="s">
        <v>202</v>
      </c>
      <c r="D191" s="252" t="s">
        <v>192</v>
      </c>
      <c r="E191" s="251" t="s">
        <v>1247</v>
      </c>
      <c r="F191" s="252" t="s">
        <v>94</v>
      </c>
      <c r="G191" s="257"/>
      <c r="H191" s="257">
        <v>1736</v>
      </c>
      <c r="I191" s="257">
        <v>0</v>
      </c>
      <c r="J191" s="257">
        <v>1736</v>
      </c>
      <c r="K191" s="257">
        <v>0</v>
      </c>
      <c r="L191" s="257">
        <v>1667.6</v>
      </c>
      <c r="M191" s="257">
        <v>1667.6</v>
      </c>
      <c r="N191" s="257">
        <v>-647.6</v>
      </c>
      <c r="O191" s="257">
        <v>1019.9999999999999</v>
      </c>
      <c r="P191" s="257">
        <v>1020</v>
      </c>
      <c r="Q191" s="257">
        <v>-117.5</v>
      </c>
      <c r="R191" s="257">
        <v>902.5</v>
      </c>
      <c r="S191" s="257">
        <v>1873.9</v>
      </c>
      <c r="T191" s="257">
        <v>0</v>
      </c>
      <c r="U191" s="257">
        <v>2054.5</v>
      </c>
      <c r="V191" s="257">
        <v>2054.5</v>
      </c>
      <c r="W191" s="257">
        <v>1221.5999999999999</v>
      </c>
      <c r="X191" s="257">
        <v>0</v>
      </c>
      <c r="Y191" s="257">
        <v>657.4</v>
      </c>
      <c r="Z191" s="257">
        <f>X191+Y191</f>
        <v>657.4</v>
      </c>
    </row>
    <row r="192" spans="1:26" ht="14.25" customHeight="1" x14ac:dyDescent="0.2">
      <c r="A192" s="259" t="s">
        <v>93</v>
      </c>
      <c r="B192" s="252" t="s">
        <v>130</v>
      </c>
      <c r="C192" s="252" t="s">
        <v>202</v>
      </c>
      <c r="D192" s="252" t="s">
        <v>192</v>
      </c>
      <c r="E192" s="251" t="s">
        <v>1247</v>
      </c>
      <c r="F192" s="252" t="s">
        <v>94</v>
      </c>
      <c r="G192" s="257"/>
      <c r="H192" s="257" t="e">
        <v>#REF!</v>
      </c>
      <c r="I192" s="257" t="e">
        <v>#REF!</v>
      </c>
      <c r="J192" s="257" t="e">
        <v>#REF!</v>
      </c>
      <c r="K192" s="257" t="e">
        <v>#REF!</v>
      </c>
      <c r="L192" s="257" t="e">
        <v>#REF!</v>
      </c>
      <c r="M192" s="257" t="e">
        <v>#REF!</v>
      </c>
      <c r="N192" s="257" t="e">
        <v>#REF!</v>
      </c>
      <c r="O192" s="257" t="e">
        <v>#REF!</v>
      </c>
      <c r="P192" s="257" t="e">
        <v>#REF!</v>
      </c>
      <c r="Q192" s="257" t="e">
        <v>#REF!</v>
      </c>
      <c r="R192" s="257">
        <v>0</v>
      </c>
      <c r="S192" s="257">
        <v>28.1</v>
      </c>
      <c r="T192" s="257">
        <v>0</v>
      </c>
      <c r="U192" s="257">
        <v>20.75</v>
      </c>
      <c r="V192" s="257">
        <v>20.75</v>
      </c>
      <c r="W192" s="257">
        <v>12.35</v>
      </c>
      <c r="X192" s="257">
        <v>0</v>
      </c>
      <c r="Y192" s="257">
        <v>6.64</v>
      </c>
      <c r="Z192" s="257">
        <f>X192+Y192</f>
        <v>6.64</v>
      </c>
    </row>
    <row r="193" spans="1:26" ht="32.25" customHeight="1" x14ac:dyDescent="0.2">
      <c r="A193" s="259" t="s">
        <v>1159</v>
      </c>
      <c r="B193" s="252" t="s">
        <v>130</v>
      </c>
      <c r="C193" s="252" t="s">
        <v>202</v>
      </c>
      <c r="D193" s="252" t="s">
        <v>192</v>
      </c>
      <c r="E193" s="251" t="s">
        <v>1301</v>
      </c>
      <c r="F193" s="252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>
        <f>T194+T195</f>
        <v>0</v>
      </c>
      <c r="U193" s="257">
        <f t="shared" ref="U193:Z193" si="296">U194+U195</f>
        <v>14310</v>
      </c>
      <c r="V193" s="257">
        <f t="shared" si="296"/>
        <v>15394.8</v>
      </c>
      <c r="W193" s="257">
        <f t="shared" si="296"/>
        <v>549.5</v>
      </c>
      <c r="X193" s="257">
        <f>X194+X195</f>
        <v>15997.88</v>
      </c>
      <c r="Y193" s="257">
        <f t="shared" si="296"/>
        <v>2938.48</v>
      </c>
      <c r="Z193" s="257">
        <f t="shared" si="296"/>
        <v>18936.36</v>
      </c>
    </row>
    <row r="194" spans="1:26" ht="21" customHeight="1" x14ac:dyDescent="0.2">
      <c r="A194" s="259" t="s">
        <v>93</v>
      </c>
      <c r="B194" s="252" t="s">
        <v>130</v>
      </c>
      <c r="C194" s="252" t="s">
        <v>202</v>
      </c>
      <c r="D194" s="252" t="s">
        <v>192</v>
      </c>
      <c r="E194" s="251" t="s">
        <v>1301</v>
      </c>
      <c r="F194" s="252" t="s">
        <v>94</v>
      </c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57">
        <v>0</v>
      </c>
      <c r="U194" s="257">
        <v>14166.9</v>
      </c>
      <c r="V194" s="257">
        <v>15240.9</v>
      </c>
      <c r="W194" s="257">
        <v>543.9</v>
      </c>
      <c r="X194" s="257">
        <v>15837.9</v>
      </c>
      <c r="Y194" s="257">
        <v>2909.1</v>
      </c>
      <c r="Z194" s="257">
        <f>X194+Y194</f>
        <v>18747</v>
      </c>
    </row>
    <row r="195" spans="1:26" ht="21" customHeight="1" x14ac:dyDescent="0.2">
      <c r="A195" s="259" t="s">
        <v>93</v>
      </c>
      <c r="B195" s="252" t="s">
        <v>130</v>
      </c>
      <c r="C195" s="252" t="s">
        <v>202</v>
      </c>
      <c r="D195" s="252" t="s">
        <v>192</v>
      </c>
      <c r="E195" s="251" t="s">
        <v>1301</v>
      </c>
      <c r="F195" s="252" t="s">
        <v>94</v>
      </c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>
        <v>0</v>
      </c>
      <c r="U195" s="257">
        <v>143.1</v>
      </c>
      <c r="V195" s="257">
        <v>153.9</v>
      </c>
      <c r="W195" s="257">
        <v>5.6</v>
      </c>
      <c r="X195" s="257">
        <v>159.97999999999999</v>
      </c>
      <c r="Y195" s="257">
        <v>29.38</v>
      </c>
      <c r="Z195" s="257">
        <f>X195+Y195</f>
        <v>189.35999999999999</v>
      </c>
    </row>
    <row r="196" spans="1:26" ht="19.5" customHeight="1" x14ac:dyDescent="0.2">
      <c r="A196" s="259" t="s">
        <v>1063</v>
      </c>
      <c r="B196" s="252" t="s">
        <v>130</v>
      </c>
      <c r="C196" s="252" t="s">
        <v>202</v>
      </c>
      <c r="D196" s="252" t="s">
        <v>192</v>
      </c>
      <c r="E196" s="251" t="s">
        <v>753</v>
      </c>
      <c r="F196" s="252" t="s">
        <v>94</v>
      </c>
      <c r="G196" s="257"/>
      <c r="H196" s="257">
        <v>1831</v>
      </c>
      <c r="I196" s="257">
        <v>0</v>
      </c>
      <c r="J196" s="257">
        <f t="shared" ref="J196:J198" si="297">H196+I196</f>
        <v>1831</v>
      </c>
      <c r="K196" s="257">
        <v>0</v>
      </c>
      <c r="L196" s="257">
        <v>1115.2</v>
      </c>
      <c r="M196" s="257">
        <v>1115.2</v>
      </c>
      <c r="N196" s="257">
        <v>1512.7</v>
      </c>
      <c r="O196" s="257">
        <f t="shared" ref="O196:O198" si="298">M196+N196</f>
        <v>2627.9</v>
      </c>
      <c r="P196" s="257">
        <v>2627.9</v>
      </c>
      <c r="Q196" s="257">
        <v>-667.9</v>
      </c>
      <c r="R196" s="257">
        <v>2000</v>
      </c>
      <c r="S196" s="257">
        <v>2052.3000000000002</v>
      </c>
      <c r="T196" s="257">
        <v>2000</v>
      </c>
      <c r="U196" s="257">
        <v>1878.7</v>
      </c>
      <c r="V196" s="257">
        <v>2000</v>
      </c>
      <c r="W196" s="257">
        <v>3330.9</v>
      </c>
      <c r="X196" s="257">
        <v>0</v>
      </c>
      <c r="Y196" s="257">
        <v>7206.64</v>
      </c>
      <c r="Z196" s="257">
        <f t="shared" ref="Z196:Z198" si="299">X196+Y196</f>
        <v>7206.64</v>
      </c>
    </row>
    <row r="197" spans="1:26" ht="19.5" hidden="1" customHeight="1" x14ac:dyDescent="0.2">
      <c r="A197" s="259" t="s">
        <v>1303</v>
      </c>
      <c r="B197" s="252" t="s">
        <v>130</v>
      </c>
      <c r="C197" s="252" t="s">
        <v>202</v>
      </c>
      <c r="D197" s="252" t="s">
        <v>192</v>
      </c>
      <c r="E197" s="251" t="s">
        <v>1300</v>
      </c>
      <c r="F197" s="252" t="s">
        <v>94</v>
      </c>
      <c r="G197" s="257"/>
      <c r="H197" s="257">
        <v>1831</v>
      </c>
      <c r="I197" s="257">
        <v>0</v>
      </c>
      <c r="J197" s="257">
        <f t="shared" ref="J197" si="300">H197+I197</f>
        <v>1831</v>
      </c>
      <c r="K197" s="257">
        <v>0</v>
      </c>
      <c r="L197" s="257">
        <v>1115.2</v>
      </c>
      <c r="M197" s="257">
        <v>1115.2</v>
      </c>
      <c r="N197" s="257">
        <v>1512.7</v>
      </c>
      <c r="O197" s="257">
        <f t="shared" ref="O197" si="301">M197+N197</f>
        <v>2627.9</v>
      </c>
      <c r="P197" s="257">
        <v>2627.9</v>
      </c>
      <c r="Q197" s="257">
        <v>-667.9</v>
      </c>
      <c r="R197" s="257">
        <v>2000</v>
      </c>
      <c r="S197" s="257">
        <v>2052.3000000000002</v>
      </c>
      <c r="T197" s="257">
        <v>2000</v>
      </c>
      <c r="U197" s="257">
        <v>1878.7</v>
      </c>
      <c r="V197" s="257">
        <v>2000</v>
      </c>
      <c r="W197" s="257">
        <v>3330.9</v>
      </c>
      <c r="X197" s="257">
        <v>0</v>
      </c>
      <c r="Y197" s="257">
        <v>0</v>
      </c>
      <c r="Z197" s="257">
        <f t="shared" ref="Z197" si="302">X197+Y197</f>
        <v>0</v>
      </c>
    </row>
    <row r="198" spans="1:26" ht="19.5" customHeight="1" x14ac:dyDescent="0.2">
      <c r="A198" s="259" t="s">
        <v>497</v>
      </c>
      <c r="B198" s="252" t="s">
        <v>130</v>
      </c>
      <c r="C198" s="252" t="s">
        <v>202</v>
      </c>
      <c r="D198" s="252" t="s">
        <v>192</v>
      </c>
      <c r="E198" s="251" t="s">
        <v>1181</v>
      </c>
      <c r="F198" s="252" t="s">
        <v>94</v>
      </c>
      <c r="G198" s="257"/>
      <c r="H198" s="257">
        <v>150</v>
      </c>
      <c r="I198" s="257">
        <v>0</v>
      </c>
      <c r="J198" s="257">
        <f t="shared" si="297"/>
        <v>150</v>
      </c>
      <c r="K198" s="257">
        <v>0</v>
      </c>
      <c r="L198" s="257">
        <v>150</v>
      </c>
      <c r="M198" s="257">
        <v>150</v>
      </c>
      <c r="N198" s="257">
        <v>0</v>
      </c>
      <c r="O198" s="257">
        <f t="shared" si="298"/>
        <v>150</v>
      </c>
      <c r="P198" s="257">
        <v>150</v>
      </c>
      <c r="Q198" s="257">
        <v>0</v>
      </c>
      <c r="R198" s="257">
        <f t="shared" ref="R198" si="303">P198+Q198</f>
        <v>150</v>
      </c>
      <c r="S198" s="257">
        <v>-50</v>
      </c>
      <c r="T198" s="257">
        <v>150</v>
      </c>
      <c r="U198" s="257">
        <v>0</v>
      </c>
      <c r="V198" s="257">
        <v>150</v>
      </c>
      <c r="W198" s="257">
        <v>0</v>
      </c>
      <c r="X198" s="257">
        <v>150</v>
      </c>
      <c r="Y198" s="257">
        <v>0</v>
      </c>
      <c r="Z198" s="257">
        <f t="shared" si="299"/>
        <v>150</v>
      </c>
    </row>
    <row r="199" spans="1:26" ht="32.25" customHeight="1" x14ac:dyDescent="0.2">
      <c r="A199" s="259" t="s">
        <v>1042</v>
      </c>
      <c r="B199" s="252" t="s">
        <v>130</v>
      </c>
      <c r="C199" s="252" t="s">
        <v>202</v>
      </c>
      <c r="D199" s="252" t="s">
        <v>192</v>
      </c>
      <c r="E199" s="251" t="s">
        <v>1261</v>
      </c>
      <c r="F199" s="252"/>
      <c r="G199" s="257"/>
      <c r="H199" s="257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  <c r="S199" s="257"/>
      <c r="T199" s="257"/>
      <c r="U199" s="257"/>
      <c r="V199" s="257"/>
      <c r="W199" s="257"/>
      <c r="X199" s="257">
        <f>X200+X201</f>
        <v>0</v>
      </c>
      <c r="Y199" s="257">
        <f t="shared" ref="Y199:Z199" si="304">Y200+Y201</f>
        <v>1764.6499999999999</v>
      </c>
      <c r="Z199" s="257">
        <f t="shared" si="304"/>
        <v>1764.6499999999999</v>
      </c>
    </row>
    <row r="200" spans="1:26" ht="19.5" customHeight="1" x14ac:dyDescent="0.2">
      <c r="A200" s="259" t="s">
        <v>1167</v>
      </c>
      <c r="B200" s="252" t="s">
        <v>130</v>
      </c>
      <c r="C200" s="252" t="s">
        <v>202</v>
      </c>
      <c r="D200" s="252" t="s">
        <v>192</v>
      </c>
      <c r="E200" s="251" t="s">
        <v>1261</v>
      </c>
      <c r="F200" s="252" t="s">
        <v>1166</v>
      </c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  <c r="S200" s="257"/>
      <c r="T200" s="257">
        <v>0</v>
      </c>
      <c r="U200" s="257">
        <v>165</v>
      </c>
      <c r="V200" s="257">
        <v>0</v>
      </c>
      <c r="W200" s="257">
        <v>900</v>
      </c>
      <c r="X200" s="257">
        <v>0</v>
      </c>
      <c r="Y200" s="257">
        <v>1743.1</v>
      </c>
      <c r="Z200" s="257">
        <f>X200+Y200</f>
        <v>1743.1</v>
      </c>
    </row>
    <row r="201" spans="1:26" ht="19.5" customHeight="1" x14ac:dyDescent="0.2">
      <c r="A201" s="259" t="s">
        <v>1167</v>
      </c>
      <c r="B201" s="252" t="s">
        <v>130</v>
      </c>
      <c r="C201" s="252" t="s">
        <v>202</v>
      </c>
      <c r="D201" s="252" t="s">
        <v>192</v>
      </c>
      <c r="E201" s="251" t="s">
        <v>1261</v>
      </c>
      <c r="F201" s="252" t="s">
        <v>1166</v>
      </c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57">
        <v>0</v>
      </c>
      <c r="U201" s="257">
        <v>165</v>
      </c>
      <c r="V201" s="257">
        <v>0</v>
      </c>
      <c r="W201" s="257">
        <v>900</v>
      </c>
      <c r="X201" s="257">
        <v>0</v>
      </c>
      <c r="Y201" s="257">
        <v>21.55</v>
      </c>
      <c r="Z201" s="257">
        <f>X201+Y201</f>
        <v>21.55</v>
      </c>
    </row>
    <row r="202" spans="1:26" ht="41.25" customHeight="1" x14ac:dyDescent="0.2">
      <c r="A202" s="259" t="s">
        <v>1161</v>
      </c>
      <c r="B202" s="252" t="s">
        <v>130</v>
      </c>
      <c r="C202" s="252" t="s">
        <v>202</v>
      </c>
      <c r="D202" s="252" t="s">
        <v>192</v>
      </c>
      <c r="E202" s="251" t="s">
        <v>1162</v>
      </c>
      <c r="F202" s="252"/>
      <c r="G202" s="257">
        <v>0</v>
      </c>
      <c r="H202" s="257">
        <v>25000</v>
      </c>
      <c r="I202" s="257">
        <v>25000</v>
      </c>
      <c r="J202" s="257">
        <f t="shared" ref="J202:O202" si="305">J203</f>
        <v>-127.8</v>
      </c>
      <c r="K202" s="257">
        <f>L203</f>
        <v>25814.799999999999</v>
      </c>
      <c r="L202" s="257">
        <v>25814.799999999999</v>
      </c>
      <c r="M202" s="257">
        <f t="shared" si="305"/>
        <v>1281</v>
      </c>
      <c r="N202" s="257">
        <f t="shared" si="305"/>
        <v>27095.8</v>
      </c>
      <c r="O202" s="257">
        <f t="shared" si="305"/>
        <v>27095.8</v>
      </c>
      <c r="P202" s="257"/>
      <c r="Q202" s="257"/>
      <c r="R202" s="257"/>
      <c r="S202" s="257"/>
      <c r="T202" s="257"/>
      <c r="U202" s="257"/>
      <c r="V202" s="257"/>
      <c r="W202" s="257"/>
      <c r="X202" s="257">
        <f>X203</f>
        <v>27095.8</v>
      </c>
      <c r="Y202" s="257">
        <f t="shared" ref="Y202:Z202" si="306">Y203</f>
        <v>-27095.8</v>
      </c>
      <c r="Z202" s="257">
        <f t="shared" si="306"/>
        <v>0</v>
      </c>
    </row>
    <row r="203" spans="1:26" ht="17.25" customHeight="1" x14ac:dyDescent="0.2">
      <c r="A203" s="259" t="s">
        <v>78</v>
      </c>
      <c r="B203" s="252" t="s">
        <v>130</v>
      </c>
      <c r="C203" s="252" t="s">
        <v>202</v>
      </c>
      <c r="D203" s="252" t="s">
        <v>192</v>
      </c>
      <c r="E203" s="251" t="s">
        <v>1162</v>
      </c>
      <c r="F203" s="252" t="s">
        <v>79</v>
      </c>
      <c r="G203" s="257">
        <v>0</v>
      </c>
      <c r="H203" s="257">
        <v>25000</v>
      </c>
      <c r="I203" s="257">
        <v>25000</v>
      </c>
      <c r="J203" s="257">
        <v>-127.8</v>
      </c>
      <c r="K203" s="257">
        <f>I203+J203</f>
        <v>24872.2</v>
      </c>
      <c r="L203" s="257">
        <v>25814.799999999999</v>
      </c>
      <c r="M203" s="257">
        <v>1281</v>
      </c>
      <c r="N203" s="257">
        <f>L203+M203</f>
        <v>27095.8</v>
      </c>
      <c r="O203" s="257">
        <v>27095.8</v>
      </c>
      <c r="P203" s="257"/>
      <c r="Q203" s="257"/>
      <c r="R203" s="257"/>
      <c r="S203" s="257"/>
      <c r="T203" s="257"/>
      <c r="U203" s="257"/>
      <c r="V203" s="257"/>
      <c r="W203" s="257"/>
      <c r="X203" s="257">
        <v>27095.8</v>
      </c>
      <c r="Y203" s="257">
        <v>-27095.8</v>
      </c>
      <c r="Z203" s="257">
        <f>X203+Y203</f>
        <v>0</v>
      </c>
    </row>
    <row r="204" spans="1:26" ht="36.75" customHeight="1" x14ac:dyDescent="0.2">
      <c r="A204" s="259" t="s">
        <v>76</v>
      </c>
      <c r="B204" s="252" t="s">
        <v>130</v>
      </c>
      <c r="C204" s="252" t="s">
        <v>202</v>
      </c>
      <c r="D204" s="252" t="s">
        <v>192</v>
      </c>
      <c r="E204" s="251" t="s">
        <v>785</v>
      </c>
      <c r="F204" s="252" t="s">
        <v>77</v>
      </c>
      <c r="G204" s="257"/>
      <c r="H204" s="257">
        <v>44069.2</v>
      </c>
      <c r="I204" s="257">
        <v>-1729.49</v>
      </c>
      <c r="J204" s="257">
        <f t="shared" ref="J204" si="307">H204+I204</f>
        <v>42339.71</v>
      </c>
      <c r="K204" s="257">
        <v>0</v>
      </c>
      <c r="L204" s="257">
        <f>47545-16557.49</f>
        <v>30987.51</v>
      </c>
      <c r="M204" s="257">
        <f>47545-15562.42</f>
        <v>31982.58</v>
      </c>
      <c r="N204" s="257">
        <f>1990.44+11926.9</f>
        <v>13917.34</v>
      </c>
      <c r="O204" s="257">
        <f t="shared" ref="O204" si="308">M204+N204</f>
        <v>45899.92</v>
      </c>
      <c r="P204" s="257">
        <f>30399.29+11620.7</f>
        <v>42019.990000000005</v>
      </c>
      <c r="Q204" s="257">
        <v>4909.87</v>
      </c>
      <c r="R204" s="257">
        <f t="shared" ref="R204" si="309">P204+Q204</f>
        <v>46929.860000000008</v>
      </c>
      <c r="S204" s="257">
        <f>14252.94+7382.6-1691.1+9472</f>
        <v>29416.440000000002</v>
      </c>
      <c r="T204" s="257">
        <v>61790.26</v>
      </c>
      <c r="U204" s="257">
        <f>11375.14+1217.21-8716.5+3606.79+810</f>
        <v>8292.64</v>
      </c>
      <c r="V204" s="257">
        <v>0</v>
      </c>
      <c r="W204" s="257">
        <f>84973-25600</f>
        <v>59373</v>
      </c>
      <c r="X204" s="257">
        <v>55734.837256000144</v>
      </c>
      <c r="Y204" s="257">
        <v>-55734.84</v>
      </c>
      <c r="Z204" s="257">
        <f t="shared" si="266"/>
        <v>-2.7439998521003872E-3</v>
      </c>
    </row>
    <row r="205" spans="1:26" ht="31.5" customHeight="1" x14ac:dyDescent="0.2">
      <c r="A205" s="259" t="s">
        <v>76</v>
      </c>
      <c r="B205" s="252" t="s">
        <v>130</v>
      </c>
      <c r="C205" s="252" t="s">
        <v>202</v>
      </c>
      <c r="D205" s="252" t="s">
        <v>192</v>
      </c>
      <c r="E205" s="251" t="s">
        <v>1070</v>
      </c>
      <c r="F205" s="252" t="s">
        <v>77</v>
      </c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>
        <f>18623.3-7382.6-9472</f>
        <v>1768.6999999999989</v>
      </c>
      <c r="T205" s="257">
        <v>4316.7</v>
      </c>
      <c r="U205" s="257">
        <f>3675.9+8716.5-240-810</f>
        <v>11342.4</v>
      </c>
      <c r="V205" s="257">
        <v>0</v>
      </c>
      <c r="W205" s="257">
        <v>0</v>
      </c>
      <c r="X205" s="257">
        <v>6735.9000000000015</v>
      </c>
      <c r="Y205" s="257">
        <v>-6735.9</v>
      </c>
      <c r="Z205" s="257">
        <f t="shared" si="266"/>
        <v>0</v>
      </c>
    </row>
    <row r="206" spans="1:26" ht="81.75" customHeight="1" x14ac:dyDescent="0.2">
      <c r="A206" s="259" t="s">
        <v>942</v>
      </c>
      <c r="B206" s="252" t="s">
        <v>130</v>
      </c>
      <c r="C206" s="252" t="s">
        <v>202</v>
      </c>
      <c r="D206" s="252" t="s">
        <v>192</v>
      </c>
      <c r="E206" s="251" t="s">
        <v>778</v>
      </c>
      <c r="F206" s="252" t="s">
        <v>77</v>
      </c>
      <c r="G206" s="257"/>
      <c r="H206" s="257">
        <v>174462.7</v>
      </c>
      <c r="I206" s="257">
        <v>5065</v>
      </c>
      <c r="J206" s="257">
        <f t="shared" ref="J206:J209" si="310">H206+I206</f>
        <v>179527.7</v>
      </c>
      <c r="K206" s="257">
        <v>-3826.2</v>
      </c>
      <c r="L206" s="257">
        <f t="shared" ref="L206:M206" si="311">177297.6-4263</f>
        <v>173034.6</v>
      </c>
      <c r="M206" s="257">
        <f t="shared" si="311"/>
        <v>173034.6</v>
      </c>
      <c r="N206" s="257">
        <f>-30015.8+9254.2</f>
        <v>-20761.599999999999</v>
      </c>
      <c r="O206" s="257">
        <f>M206+N206</f>
        <v>152273</v>
      </c>
      <c r="P206" s="257">
        <f>143018.8+9254.2</f>
        <v>152273</v>
      </c>
      <c r="Q206" s="257">
        <v>36373</v>
      </c>
      <c r="R206" s="257">
        <f>P206+Q206</f>
        <v>188646</v>
      </c>
      <c r="S206" s="257">
        <v>10530</v>
      </c>
      <c r="T206" s="257">
        <f t="shared" ref="T206" si="312">R206+S206</f>
        <v>199176</v>
      </c>
      <c r="U206" s="257">
        <v>2155.9</v>
      </c>
      <c r="V206" s="257">
        <v>199176</v>
      </c>
      <c r="W206" s="257">
        <v>23269.7</v>
      </c>
      <c r="X206" s="257">
        <v>177948.1</v>
      </c>
      <c r="Y206" s="257">
        <v>-177948.1</v>
      </c>
      <c r="Z206" s="257">
        <f t="shared" si="266"/>
        <v>0</v>
      </c>
    </row>
    <row r="207" spans="1:26" ht="33.75" customHeight="1" x14ac:dyDescent="0.2">
      <c r="A207" s="259" t="s">
        <v>772</v>
      </c>
      <c r="B207" s="252" t="s">
        <v>130</v>
      </c>
      <c r="C207" s="252" t="s">
        <v>202</v>
      </c>
      <c r="D207" s="252" t="s">
        <v>192</v>
      </c>
      <c r="E207" s="251" t="s">
        <v>774</v>
      </c>
      <c r="F207" s="252"/>
      <c r="G207" s="257"/>
      <c r="H207" s="257">
        <f>H209</f>
        <v>280.10000000000002</v>
      </c>
      <c r="I207" s="257">
        <f>I209</f>
        <v>0</v>
      </c>
      <c r="J207" s="257">
        <f t="shared" si="310"/>
        <v>280.10000000000002</v>
      </c>
      <c r="K207" s="257">
        <f>K209</f>
        <v>0</v>
      </c>
      <c r="L207" s="257">
        <f>L209</f>
        <v>12</v>
      </c>
      <c r="M207" s="257">
        <f>M209</f>
        <v>12</v>
      </c>
      <c r="N207" s="257">
        <f t="shared" ref="N207:Q207" si="313">N209</f>
        <v>15</v>
      </c>
      <c r="O207" s="257">
        <f t="shared" si="313"/>
        <v>27</v>
      </c>
      <c r="P207" s="257">
        <f t="shared" si="313"/>
        <v>27</v>
      </c>
      <c r="Q207" s="257">
        <f t="shared" si="313"/>
        <v>0</v>
      </c>
      <c r="R207" s="257">
        <f>R208+R209</f>
        <v>1987</v>
      </c>
      <c r="S207" s="257">
        <f t="shared" ref="S207:T207" si="314">S208+S209</f>
        <v>-517.19999999999993</v>
      </c>
      <c r="T207" s="257">
        <f t="shared" si="314"/>
        <v>1482.1</v>
      </c>
      <c r="U207" s="257">
        <f t="shared" ref="U207:V207" si="315">U208+U209</f>
        <v>294.46999999999997</v>
      </c>
      <c r="V207" s="257">
        <f t="shared" si="315"/>
        <v>1330.2</v>
      </c>
      <c r="W207" s="257">
        <f t="shared" ref="W207:X207" si="316">W208+W209</f>
        <v>1099.4000000000001</v>
      </c>
      <c r="X207" s="257">
        <f t="shared" si="316"/>
        <v>1880</v>
      </c>
      <c r="Y207" s="257">
        <f t="shared" ref="Y207:Z207" si="317">Y208+Y209</f>
        <v>-1880</v>
      </c>
      <c r="Z207" s="257">
        <f t="shared" si="317"/>
        <v>0</v>
      </c>
    </row>
    <row r="208" spans="1:26" ht="18.75" customHeight="1" x14ac:dyDescent="0.2">
      <c r="A208" s="259" t="s">
        <v>78</v>
      </c>
      <c r="B208" s="252" t="s">
        <v>130</v>
      </c>
      <c r="C208" s="252" t="s">
        <v>202</v>
      </c>
      <c r="D208" s="252" t="s">
        <v>192</v>
      </c>
      <c r="E208" s="251" t="s">
        <v>774</v>
      </c>
      <c r="F208" s="252" t="s">
        <v>79</v>
      </c>
      <c r="G208" s="257"/>
      <c r="H208" s="257">
        <v>1831</v>
      </c>
      <c r="I208" s="257">
        <v>0</v>
      </c>
      <c r="J208" s="257">
        <f t="shared" si="310"/>
        <v>1831</v>
      </c>
      <c r="K208" s="257">
        <v>0</v>
      </c>
      <c r="L208" s="257">
        <v>1115.2</v>
      </c>
      <c r="M208" s="257">
        <v>1115.2</v>
      </c>
      <c r="N208" s="257">
        <v>1512.7</v>
      </c>
      <c r="O208" s="257">
        <f t="shared" ref="O208" si="318">M208+N208</f>
        <v>2627.9</v>
      </c>
      <c r="P208" s="257">
        <v>2627.9</v>
      </c>
      <c r="Q208" s="257">
        <v>-667.9</v>
      </c>
      <c r="R208" s="257">
        <f>P208+Q208</f>
        <v>1960</v>
      </c>
      <c r="S208" s="257">
        <v>-504.9</v>
      </c>
      <c r="T208" s="257">
        <f t="shared" ref="T208" si="319">R208+S208</f>
        <v>1455.1</v>
      </c>
      <c r="U208" s="257">
        <v>303.7</v>
      </c>
      <c r="V208" s="257">
        <v>1316.9</v>
      </c>
      <c r="W208" s="257">
        <v>1088.4000000000001</v>
      </c>
      <c r="X208" s="257">
        <v>1861.2</v>
      </c>
      <c r="Y208" s="257">
        <v>-1861.2</v>
      </c>
      <c r="Z208" s="257">
        <f>X208+Y208</f>
        <v>0</v>
      </c>
    </row>
    <row r="209" spans="1:26" ht="18.75" customHeight="1" x14ac:dyDescent="0.2">
      <c r="A209" s="259" t="s">
        <v>1071</v>
      </c>
      <c r="B209" s="252" t="s">
        <v>130</v>
      </c>
      <c r="C209" s="252" t="s">
        <v>202</v>
      </c>
      <c r="D209" s="252" t="s">
        <v>192</v>
      </c>
      <c r="E209" s="251" t="s">
        <v>774</v>
      </c>
      <c r="F209" s="252" t="s">
        <v>79</v>
      </c>
      <c r="G209" s="257"/>
      <c r="H209" s="257">
        <v>280.10000000000002</v>
      </c>
      <c r="I209" s="257">
        <v>0</v>
      </c>
      <c r="J209" s="257">
        <f t="shared" si="310"/>
        <v>280.10000000000002</v>
      </c>
      <c r="K209" s="257">
        <v>0</v>
      </c>
      <c r="L209" s="257">
        <v>12</v>
      </c>
      <c r="M209" s="257">
        <v>12</v>
      </c>
      <c r="N209" s="257">
        <v>15</v>
      </c>
      <c r="O209" s="257">
        <f t="shared" ref="O209" si="320">M209+N209</f>
        <v>27</v>
      </c>
      <c r="P209" s="257">
        <v>27</v>
      </c>
      <c r="Q209" s="257">
        <v>0</v>
      </c>
      <c r="R209" s="257">
        <f>P209+Q209</f>
        <v>27</v>
      </c>
      <c r="S209" s="257">
        <v>-12.3</v>
      </c>
      <c r="T209" s="257">
        <v>27</v>
      </c>
      <c r="U209" s="257">
        <v>-9.23</v>
      </c>
      <c r="V209" s="257">
        <v>13.3</v>
      </c>
      <c r="W209" s="257">
        <v>11</v>
      </c>
      <c r="X209" s="257">
        <v>18.8</v>
      </c>
      <c r="Y209" s="257">
        <v>-18.8</v>
      </c>
      <c r="Z209" s="257">
        <f>X209+Y209</f>
        <v>0</v>
      </c>
    </row>
    <row r="210" spans="1:26" ht="46.5" customHeight="1" x14ac:dyDescent="0.2">
      <c r="A210" s="259" t="s">
        <v>1238</v>
      </c>
      <c r="B210" s="252" t="s">
        <v>130</v>
      </c>
      <c r="C210" s="252" t="s">
        <v>202</v>
      </c>
      <c r="D210" s="252" t="s">
        <v>192</v>
      </c>
      <c r="E210" s="251" t="s">
        <v>1142</v>
      </c>
      <c r="F210" s="252"/>
      <c r="G210" s="257"/>
      <c r="H210" s="257">
        <v>1736</v>
      </c>
      <c r="I210" s="257">
        <v>0</v>
      </c>
      <c r="J210" s="257">
        <v>1736</v>
      </c>
      <c r="K210" s="257">
        <v>0</v>
      </c>
      <c r="L210" s="257">
        <v>1667.6</v>
      </c>
      <c r="M210" s="257">
        <v>1667.6</v>
      </c>
      <c r="N210" s="257">
        <v>-647.6</v>
      </c>
      <c r="O210" s="257">
        <v>1019.9999999999999</v>
      </c>
      <c r="P210" s="257">
        <v>1020</v>
      </c>
      <c r="Q210" s="257">
        <v>-117.5</v>
      </c>
      <c r="R210" s="257">
        <v>902.5</v>
      </c>
      <c r="S210" s="257">
        <v>1902</v>
      </c>
      <c r="T210" s="257">
        <f>T211+T212</f>
        <v>0</v>
      </c>
      <c r="U210" s="257">
        <f t="shared" ref="U210:V210" si="321">U211+U212</f>
        <v>2075.25</v>
      </c>
      <c r="V210" s="257">
        <f t="shared" si="321"/>
        <v>2075.25</v>
      </c>
      <c r="W210" s="257">
        <f t="shared" ref="W210:X210" si="322">W211+W212</f>
        <v>1233.9499999999998</v>
      </c>
      <c r="X210" s="257">
        <f t="shared" si="322"/>
        <v>2861.12</v>
      </c>
      <c r="Y210" s="257">
        <f t="shared" ref="Y210:Z210" si="323">Y211+Y212</f>
        <v>-2861.12</v>
      </c>
      <c r="Z210" s="257">
        <f t="shared" si="323"/>
        <v>0</v>
      </c>
    </row>
    <row r="211" spans="1:26" ht="16.5" customHeight="1" x14ac:dyDescent="0.2">
      <c r="A211" s="259" t="s">
        <v>78</v>
      </c>
      <c r="B211" s="252" t="s">
        <v>130</v>
      </c>
      <c r="C211" s="252" t="s">
        <v>202</v>
      </c>
      <c r="D211" s="252" t="s">
        <v>192</v>
      </c>
      <c r="E211" s="251" t="s">
        <v>1142</v>
      </c>
      <c r="F211" s="252" t="s">
        <v>79</v>
      </c>
      <c r="G211" s="257"/>
      <c r="H211" s="257">
        <v>1736</v>
      </c>
      <c r="I211" s="257">
        <v>0</v>
      </c>
      <c r="J211" s="257">
        <v>1736</v>
      </c>
      <c r="K211" s="257">
        <v>0</v>
      </c>
      <c r="L211" s="257">
        <v>1667.6</v>
      </c>
      <c r="M211" s="257">
        <v>1667.6</v>
      </c>
      <c r="N211" s="257">
        <v>-647.6</v>
      </c>
      <c r="O211" s="257">
        <v>1019.9999999999999</v>
      </c>
      <c r="P211" s="257">
        <v>1020</v>
      </c>
      <c r="Q211" s="257">
        <v>-117.5</v>
      </c>
      <c r="R211" s="257">
        <v>902.5</v>
      </c>
      <c r="S211" s="257">
        <v>1873.9</v>
      </c>
      <c r="T211" s="257">
        <v>0</v>
      </c>
      <c r="U211" s="257">
        <v>2054.5</v>
      </c>
      <c r="V211" s="257">
        <v>2054.5</v>
      </c>
      <c r="W211" s="257">
        <v>1221.5999999999999</v>
      </c>
      <c r="X211" s="257">
        <v>2832.5</v>
      </c>
      <c r="Y211" s="257">
        <v>-2832.5</v>
      </c>
      <c r="Z211" s="257">
        <f>X211+Y211</f>
        <v>0</v>
      </c>
    </row>
    <row r="212" spans="1:26" ht="16.5" customHeight="1" x14ac:dyDescent="0.2">
      <c r="A212" s="259" t="s">
        <v>1071</v>
      </c>
      <c r="B212" s="252" t="s">
        <v>130</v>
      </c>
      <c r="C212" s="252" t="s">
        <v>202</v>
      </c>
      <c r="D212" s="252" t="s">
        <v>192</v>
      </c>
      <c r="E212" s="251" t="s">
        <v>1142</v>
      </c>
      <c r="F212" s="252" t="s">
        <v>79</v>
      </c>
      <c r="G212" s="257"/>
      <c r="H212" s="257" t="e">
        <v>#REF!</v>
      </c>
      <c r="I212" s="257" t="e">
        <v>#REF!</v>
      </c>
      <c r="J212" s="257" t="e">
        <v>#REF!</v>
      </c>
      <c r="K212" s="257" t="e">
        <v>#REF!</v>
      </c>
      <c r="L212" s="257" t="e">
        <v>#REF!</v>
      </c>
      <c r="M212" s="257" t="e">
        <v>#REF!</v>
      </c>
      <c r="N212" s="257" t="e">
        <v>#REF!</v>
      </c>
      <c r="O212" s="257" t="e">
        <v>#REF!</v>
      </c>
      <c r="P212" s="257" t="e">
        <v>#REF!</v>
      </c>
      <c r="Q212" s="257" t="e">
        <v>#REF!</v>
      </c>
      <c r="R212" s="257">
        <v>0</v>
      </c>
      <c r="S212" s="257">
        <v>28.1</v>
      </c>
      <c r="T212" s="257">
        <v>0</v>
      </c>
      <c r="U212" s="257">
        <v>20.75</v>
      </c>
      <c r="V212" s="257">
        <v>20.75</v>
      </c>
      <c r="W212" s="257">
        <v>12.35</v>
      </c>
      <c r="X212" s="257">
        <v>28.62</v>
      </c>
      <c r="Y212" s="257">
        <v>-28.62</v>
      </c>
      <c r="Z212" s="257">
        <f>X212+Y212</f>
        <v>0</v>
      </c>
    </row>
    <row r="213" spans="1:26" ht="43.5" hidden="1" customHeight="1" x14ac:dyDescent="0.2">
      <c r="A213" s="259" t="s">
        <v>1199</v>
      </c>
      <c r="B213" s="252" t="s">
        <v>130</v>
      </c>
      <c r="C213" s="252" t="s">
        <v>202</v>
      </c>
      <c r="D213" s="252" t="s">
        <v>192</v>
      </c>
      <c r="E213" s="251" t="s">
        <v>1198</v>
      </c>
      <c r="F213" s="252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>
        <f>R214+R215</f>
        <v>0</v>
      </c>
      <c r="S213" s="257">
        <f t="shared" ref="S213:T213" si="324">S214+S215</f>
        <v>2181.1200000000003</v>
      </c>
      <c r="T213" s="257">
        <f t="shared" si="324"/>
        <v>2181.1200000000003</v>
      </c>
      <c r="U213" s="257">
        <f t="shared" ref="U213:V213" si="325">U214+U215</f>
        <v>-1570.92</v>
      </c>
      <c r="V213" s="257">
        <f t="shared" si="325"/>
        <v>629.59999999999991</v>
      </c>
      <c r="W213" s="257">
        <f t="shared" ref="W213:X213" si="326">W214+W215</f>
        <v>110.39999999999999</v>
      </c>
      <c r="X213" s="257">
        <f t="shared" si="326"/>
        <v>0</v>
      </c>
      <c r="Y213" s="257">
        <f t="shared" ref="Y213:Z213" si="327">Y214+Y215</f>
        <v>0</v>
      </c>
      <c r="Z213" s="257">
        <f t="shared" si="327"/>
        <v>0</v>
      </c>
    </row>
    <row r="214" spans="1:26" ht="18.75" hidden="1" customHeight="1" x14ac:dyDescent="0.2">
      <c r="A214" s="259" t="s">
        <v>78</v>
      </c>
      <c r="B214" s="252" t="s">
        <v>130</v>
      </c>
      <c r="C214" s="252" t="s">
        <v>202</v>
      </c>
      <c r="D214" s="252" t="s">
        <v>192</v>
      </c>
      <c r="E214" s="251" t="s">
        <v>1198</v>
      </c>
      <c r="F214" s="252" t="s">
        <v>79</v>
      </c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>
        <v>2159.3000000000002</v>
      </c>
      <c r="T214" s="257">
        <f>R214+S214</f>
        <v>2159.3000000000002</v>
      </c>
      <c r="U214" s="257">
        <v>-1555.2</v>
      </c>
      <c r="V214" s="257">
        <v>623.29999999999995</v>
      </c>
      <c r="W214" s="257">
        <v>109.3</v>
      </c>
      <c r="X214" s="257">
        <v>0</v>
      </c>
      <c r="Y214" s="257">
        <v>0</v>
      </c>
      <c r="Z214" s="257">
        <f>X214+Y214</f>
        <v>0</v>
      </c>
    </row>
    <row r="215" spans="1:26" ht="18.75" hidden="1" customHeight="1" x14ac:dyDescent="0.2">
      <c r="A215" s="259" t="s">
        <v>1121</v>
      </c>
      <c r="B215" s="252" t="s">
        <v>130</v>
      </c>
      <c r="C215" s="252" t="s">
        <v>202</v>
      </c>
      <c r="D215" s="252" t="s">
        <v>192</v>
      </c>
      <c r="E215" s="251" t="s">
        <v>1198</v>
      </c>
      <c r="F215" s="252" t="s">
        <v>79</v>
      </c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>
        <v>21.82</v>
      </c>
      <c r="T215" s="257">
        <f>R215+S215</f>
        <v>21.82</v>
      </c>
      <c r="U215" s="257">
        <v>-15.72</v>
      </c>
      <c r="V215" s="257">
        <v>6.3</v>
      </c>
      <c r="W215" s="257">
        <v>1.1000000000000001</v>
      </c>
      <c r="X215" s="257">
        <v>0</v>
      </c>
      <c r="Y215" s="257">
        <v>0</v>
      </c>
      <c r="Z215" s="257">
        <f>X215+Y215</f>
        <v>0</v>
      </c>
    </row>
    <row r="216" spans="1:26" ht="47.25" hidden="1" customHeight="1" x14ac:dyDescent="0.2">
      <c r="A216" s="259" t="s">
        <v>1150</v>
      </c>
      <c r="B216" s="252" t="s">
        <v>130</v>
      </c>
      <c r="C216" s="252" t="s">
        <v>202</v>
      </c>
      <c r="D216" s="252" t="s">
        <v>192</v>
      </c>
      <c r="E216" s="251" t="s">
        <v>1176</v>
      </c>
      <c r="F216" s="252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  <c r="T216" s="257">
        <f t="shared" ref="T216:Z216" si="328">T217</f>
        <v>0</v>
      </c>
      <c r="U216" s="257">
        <f t="shared" si="328"/>
        <v>20899</v>
      </c>
      <c r="V216" s="257">
        <f t="shared" si="328"/>
        <v>0</v>
      </c>
      <c r="W216" s="257">
        <f t="shared" si="328"/>
        <v>8674.4</v>
      </c>
      <c r="X216" s="257">
        <f t="shared" si="328"/>
        <v>0</v>
      </c>
      <c r="Y216" s="257">
        <f t="shared" si="328"/>
        <v>0</v>
      </c>
      <c r="Z216" s="257">
        <f t="shared" si="328"/>
        <v>0</v>
      </c>
    </row>
    <row r="217" spans="1:26" ht="18.75" hidden="1" customHeight="1" x14ac:dyDescent="0.2">
      <c r="A217" s="259" t="s">
        <v>78</v>
      </c>
      <c r="B217" s="252" t="s">
        <v>130</v>
      </c>
      <c r="C217" s="252" t="s">
        <v>202</v>
      </c>
      <c r="D217" s="252" t="s">
        <v>192</v>
      </c>
      <c r="E217" s="251" t="s">
        <v>1176</v>
      </c>
      <c r="F217" s="252" t="s">
        <v>79</v>
      </c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>
        <v>0</v>
      </c>
      <c r="U217" s="257">
        <v>20899</v>
      </c>
      <c r="V217" s="257">
        <v>0</v>
      </c>
      <c r="W217" s="257">
        <v>8674.4</v>
      </c>
      <c r="X217" s="257">
        <v>0</v>
      </c>
      <c r="Y217" s="257">
        <v>0</v>
      </c>
      <c r="Z217" s="257">
        <f>X217+Y217</f>
        <v>0</v>
      </c>
    </row>
    <row r="218" spans="1:26" s="430" customFormat="1" ht="21.75" customHeight="1" x14ac:dyDescent="0.2">
      <c r="A218" s="462" t="s">
        <v>850</v>
      </c>
      <c r="B218" s="250" t="s">
        <v>130</v>
      </c>
      <c r="C218" s="250" t="s">
        <v>202</v>
      </c>
      <c r="D218" s="250" t="s">
        <v>194</v>
      </c>
      <c r="E218" s="253"/>
      <c r="F218" s="250"/>
      <c r="G218" s="275"/>
      <c r="H218" s="275"/>
      <c r="I218" s="275"/>
      <c r="J218" s="275"/>
      <c r="K218" s="275"/>
      <c r="L218" s="275" t="e">
        <f>L219+L241+#REF!</f>
        <v>#REF!</v>
      </c>
      <c r="M218" s="275" t="e">
        <f>M219+M241+#REF!</f>
        <v>#REF!</v>
      </c>
      <c r="N218" s="275" t="e">
        <f>N219+N241+#REF!</f>
        <v>#REF!</v>
      </c>
      <c r="O218" s="275" t="e">
        <f>O219+O241+#REF!</f>
        <v>#REF!</v>
      </c>
      <c r="P218" s="275" t="e">
        <f>P219+P241+#REF!</f>
        <v>#REF!</v>
      </c>
      <c r="Q218" s="275" t="e">
        <f>Q219+Q241+#REF!</f>
        <v>#REF!</v>
      </c>
      <c r="R218" s="275" t="e">
        <f>R219+R241+#REF!</f>
        <v>#REF!</v>
      </c>
      <c r="S218" s="275" t="e">
        <f>S219+S241+#REF!</f>
        <v>#REF!</v>
      </c>
      <c r="T218" s="275" t="e">
        <f>T219+T241+#REF!</f>
        <v>#REF!</v>
      </c>
      <c r="U218" s="275" t="e">
        <f>U219+U241+#REF!</f>
        <v>#REF!</v>
      </c>
      <c r="V218" s="275" t="e">
        <f>V219+V241+#REF!</f>
        <v>#REF!</v>
      </c>
      <c r="W218" s="275" t="e">
        <f>W219+W241+#REF!</f>
        <v>#REF!</v>
      </c>
      <c r="X218" s="275">
        <f>X219</f>
        <v>24231</v>
      </c>
      <c r="Y218" s="275">
        <f t="shared" ref="Y218" si="329">Y219</f>
        <v>-12722.21</v>
      </c>
      <c r="Z218" s="275">
        <f>Z219</f>
        <v>11508.79</v>
      </c>
    </row>
    <row r="219" spans="1:26" ht="29.25" customHeight="1" x14ac:dyDescent="0.2">
      <c r="A219" s="259" t="s">
        <v>901</v>
      </c>
      <c r="B219" s="252" t="s">
        <v>130</v>
      </c>
      <c r="C219" s="252" t="s">
        <v>202</v>
      </c>
      <c r="D219" s="252" t="s">
        <v>194</v>
      </c>
      <c r="E219" s="251" t="s">
        <v>918</v>
      </c>
      <c r="F219" s="252"/>
      <c r="G219" s="257"/>
      <c r="H219" s="257">
        <f t="shared" ref="H219:Q219" si="330">H221+H231</f>
        <v>0</v>
      </c>
      <c r="I219" s="257">
        <f t="shared" si="330"/>
        <v>20483</v>
      </c>
      <c r="J219" s="257">
        <f t="shared" si="330"/>
        <v>20483</v>
      </c>
      <c r="K219" s="257">
        <f t="shared" si="330"/>
        <v>1418.7700000000002</v>
      </c>
      <c r="L219" s="257">
        <f t="shared" si="330"/>
        <v>21560</v>
      </c>
      <c r="M219" s="257">
        <f t="shared" si="330"/>
        <v>21560</v>
      </c>
      <c r="N219" s="257">
        <f t="shared" si="330"/>
        <v>-1455</v>
      </c>
      <c r="O219" s="257">
        <f t="shared" si="330"/>
        <v>20105</v>
      </c>
      <c r="P219" s="257">
        <f t="shared" si="330"/>
        <v>20105</v>
      </c>
      <c r="Q219" s="257">
        <f t="shared" si="330"/>
        <v>0</v>
      </c>
      <c r="R219" s="257">
        <f t="shared" ref="R219:Z219" si="331">R221+R231+R220</f>
        <v>20105</v>
      </c>
      <c r="S219" s="257">
        <f t="shared" si="331"/>
        <v>9257</v>
      </c>
      <c r="T219" s="257">
        <f t="shared" si="331"/>
        <v>26693</v>
      </c>
      <c r="U219" s="257">
        <f t="shared" si="331"/>
        <v>3418.2</v>
      </c>
      <c r="V219" s="257">
        <f t="shared" si="331"/>
        <v>22853</v>
      </c>
      <c r="W219" s="257">
        <f t="shared" si="331"/>
        <v>8306</v>
      </c>
      <c r="X219" s="257">
        <f t="shared" si="331"/>
        <v>24231</v>
      </c>
      <c r="Y219" s="257">
        <f t="shared" si="331"/>
        <v>-12722.21</v>
      </c>
      <c r="Z219" s="257">
        <f t="shared" si="331"/>
        <v>11508.79</v>
      </c>
    </row>
    <row r="220" spans="1:26" ht="21" hidden="1" customHeight="1" x14ac:dyDescent="0.2">
      <c r="A220" s="259" t="s">
        <v>1135</v>
      </c>
      <c r="B220" s="252" t="s">
        <v>130</v>
      </c>
      <c r="C220" s="252" t="s">
        <v>202</v>
      </c>
      <c r="D220" s="252" t="s">
        <v>194</v>
      </c>
      <c r="E220" s="356" t="s">
        <v>918</v>
      </c>
      <c r="F220" s="252" t="s">
        <v>1136</v>
      </c>
      <c r="G220" s="257"/>
      <c r="H220" s="257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>
        <v>0</v>
      </c>
      <c r="S220" s="257">
        <v>6876</v>
      </c>
      <c r="T220" s="257">
        <v>0</v>
      </c>
      <c r="U220" s="257">
        <v>8850.4</v>
      </c>
      <c r="V220" s="257">
        <v>0</v>
      </c>
      <c r="W220" s="257">
        <v>0</v>
      </c>
      <c r="X220" s="257">
        <f>V220+W220</f>
        <v>0</v>
      </c>
      <c r="Y220" s="257">
        <v>0</v>
      </c>
      <c r="Z220" s="257">
        <f>X220+Y220</f>
        <v>0</v>
      </c>
    </row>
    <row r="221" spans="1:26" ht="24" customHeight="1" x14ac:dyDescent="0.2">
      <c r="A221" s="462" t="s">
        <v>1075</v>
      </c>
      <c r="B221" s="252" t="s">
        <v>130</v>
      </c>
      <c r="C221" s="252" t="s">
        <v>202</v>
      </c>
      <c r="D221" s="252" t="s">
        <v>194</v>
      </c>
      <c r="E221" s="251" t="s">
        <v>782</v>
      </c>
      <c r="F221" s="252"/>
      <c r="G221" s="257"/>
      <c r="H221" s="257">
        <f t="shared" ref="H221:Q221" si="332">H222+H229</f>
        <v>0</v>
      </c>
      <c r="I221" s="257">
        <f t="shared" si="332"/>
        <v>5750</v>
      </c>
      <c r="J221" s="257">
        <f t="shared" si="332"/>
        <v>5750</v>
      </c>
      <c r="K221" s="257">
        <f t="shared" si="332"/>
        <v>80.39</v>
      </c>
      <c r="L221" s="257">
        <f t="shared" si="332"/>
        <v>5750</v>
      </c>
      <c r="M221" s="257">
        <f t="shared" si="332"/>
        <v>5750</v>
      </c>
      <c r="N221" s="257">
        <f t="shared" si="332"/>
        <v>265</v>
      </c>
      <c r="O221" s="257">
        <f t="shared" si="332"/>
        <v>6015</v>
      </c>
      <c r="P221" s="257">
        <f t="shared" si="332"/>
        <v>6015</v>
      </c>
      <c r="Q221" s="257">
        <f t="shared" si="332"/>
        <v>0</v>
      </c>
      <c r="R221" s="257">
        <f t="shared" ref="R221:W221" si="333">R222+R223+R228+R229+R230</f>
        <v>6015</v>
      </c>
      <c r="S221" s="257">
        <f t="shared" si="333"/>
        <v>-719</v>
      </c>
      <c r="T221" s="257">
        <f t="shared" si="333"/>
        <v>7564</v>
      </c>
      <c r="U221" s="257">
        <f t="shared" si="333"/>
        <v>-2491</v>
      </c>
      <c r="V221" s="257">
        <f t="shared" si="333"/>
        <v>6264</v>
      </c>
      <c r="W221" s="257">
        <f t="shared" si="333"/>
        <v>2556</v>
      </c>
      <c r="X221" s="257">
        <f>X222+X223+X228+X229+X230+X224+X225</f>
        <v>6043</v>
      </c>
      <c r="Y221" s="257">
        <f t="shared" ref="Y221:Z221" si="334">Y222+Y223+Y228+Y229+Y230+Y224+Y225</f>
        <v>5465.79</v>
      </c>
      <c r="Z221" s="257">
        <f t="shared" si="334"/>
        <v>11508.79</v>
      </c>
    </row>
    <row r="222" spans="1:26" ht="32.25" customHeight="1" x14ac:dyDescent="0.2">
      <c r="A222" s="259" t="s">
        <v>76</v>
      </c>
      <c r="B222" s="252" t="s">
        <v>130</v>
      </c>
      <c r="C222" s="252" t="s">
        <v>202</v>
      </c>
      <c r="D222" s="252" t="s">
        <v>194</v>
      </c>
      <c r="E222" s="251" t="s">
        <v>782</v>
      </c>
      <c r="F222" s="252" t="s">
        <v>77</v>
      </c>
      <c r="G222" s="257"/>
      <c r="H222" s="257">
        <v>0</v>
      </c>
      <c r="I222" s="257">
        <v>5550</v>
      </c>
      <c r="J222" s="257">
        <f>H222+I222</f>
        <v>5550</v>
      </c>
      <c r="K222" s="257">
        <v>80.39</v>
      </c>
      <c r="L222" s="257">
        <v>5550</v>
      </c>
      <c r="M222" s="257">
        <v>5550</v>
      </c>
      <c r="N222" s="257">
        <v>265</v>
      </c>
      <c r="O222" s="257">
        <f>M222+N222</f>
        <v>5815</v>
      </c>
      <c r="P222" s="257">
        <v>5815</v>
      </c>
      <c r="Q222" s="257">
        <v>0</v>
      </c>
      <c r="R222" s="257">
        <f>P222+Q222</f>
        <v>5815</v>
      </c>
      <c r="S222" s="257">
        <f>-101-2520+302</f>
        <v>-2319</v>
      </c>
      <c r="T222" s="257">
        <v>5714</v>
      </c>
      <c r="U222" s="257">
        <f>99-2760+220</f>
        <v>-2441</v>
      </c>
      <c r="V222" s="257">
        <v>5714</v>
      </c>
      <c r="W222" s="257">
        <v>1906</v>
      </c>
      <c r="X222" s="257">
        <v>4793</v>
      </c>
      <c r="Y222" s="257">
        <v>4907</v>
      </c>
      <c r="Z222" s="257">
        <f>X222+Y222</f>
        <v>9700</v>
      </c>
    </row>
    <row r="223" spans="1:26" ht="27.75" customHeight="1" x14ac:dyDescent="0.2">
      <c r="A223" s="259" t="s">
        <v>76</v>
      </c>
      <c r="B223" s="252" t="s">
        <v>130</v>
      </c>
      <c r="C223" s="252" t="s">
        <v>202</v>
      </c>
      <c r="D223" s="252" t="s">
        <v>194</v>
      </c>
      <c r="E223" s="251" t="s">
        <v>1072</v>
      </c>
      <c r="F223" s="252" t="s">
        <v>77</v>
      </c>
      <c r="G223" s="257"/>
      <c r="H223" s="257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  <c r="S223" s="257">
        <f>1300</f>
        <v>1300</v>
      </c>
      <c r="T223" s="257">
        <f t="shared" ref="T223:T228" si="335">R223+S223</f>
        <v>1300</v>
      </c>
      <c r="U223" s="257">
        <v>0</v>
      </c>
      <c r="V223" s="257">
        <v>0</v>
      </c>
      <c r="W223" s="257">
        <v>700</v>
      </c>
      <c r="X223" s="257">
        <v>700</v>
      </c>
      <c r="Y223" s="257">
        <v>-700</v>
      </c>
      <c r="Z223" s="257">
        <f t="shared" ref="Z223:Z230" si="336">X223+Y223</f>
        <v>0</v>
      </c>
    </row>
    <row r="224" spans="1:26" ht="27.75" customHeight="1" x14ac:dyDescent="0.2">
      <c r="A224" s="259" t="s">
        <v>76</v>
      </c>
      <c r="B224" s="252" t="s">
        <v>130</v>
      </c>
      <c r="C224" s="252" t="s">
        <v>202</v>
      </c>
      <c r="D224" s="252" t="s">
        <v>194</v>
      </c>
      <c r="E224" s="251" t="s">
        <v>1255</v>
      </c>
      <c r="F224" s="252" t="s">
        <v>77</v>
      </c>
      <c r="G224" s="257"/>
      <c r="H224" s="257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  <c r="S224" s="257">
        <f>1300</f>
        <v>1300</v>
      </c>
      <c r="T224" s="257">
        <f t="shared" ref="T224" si="337">R224+S224</f>
        <v>1300</v>
      </c>
      <c r="U224" s="257">
        <v>0</v>
      </c>
      <c r="V224" s="257">
        <v>0</v>
      </c>
      <c r="W224" s="257">
        <v>700</v>
      </c>
      <c r="X224" s="257">
        <v>0</v>
      </c>
      <c r="Y224" s="257">
        <v>1200</v>
      </c>
      <c r="Z224" s="257">
        <f t="shared" ref="Z224" si="338">X224+Y224</f>
        <v>1200</v>
      </c>
    </row>
    <row r="225" spans="1:26" ht="27.75" customHeight="1" x14ac:dyDescent="0.2">
      <c r="A225" s="259" t="s">
        <v>1242</v>
      </c>
      <c r="B225" s="252" t="s">
        <v>130</v>
      </c>
      <c r="C225" s="252" t="s">
        <v>202</v>
      </c>
      <c r="D225" s="252" t="s">
        <v>194</v>
      </c>
      <c r="E225" s="251" t="s">
        <v>1244</v>
      </c>
      <c r="F225" s="252"/>
      <c r="G225" s="257"/>
      <c r="H225" s="257">
        <v>100</v>
      </c>
      <c r="I225" s="257">
        <v>0</v>
      </c>
      <c r="J225" s="257">
        <f>H225+I225</f>
        <v>100</v>
      </c>
      <c r="K225" s="257">
        <v>0</v>
      </c>
      <c r="L225" s="257">
        <v>100</v>
      </c>
      <c r="M225" s="257">
        <v>100</v>
      </c>
      <c r="N225" s="257">
        <v>0</v>
      </c>
      <c r="O225" s="257">
        <f t="shared" ref="O225" si="339">M225+N225</f>
        <v>100</v>
      </c>
      <c r="P225" s="257">
        <v>100</v>
      </c>
      <c r="Q225" s="257">
        <v>0</v>
      </c>
      <c r="R225" s="257">
        <f>R226+R227</f>
        <v>0</v>
      </c>
      <c r="S225" s="257">
        <f t="shared" ref="S225" si="340">S226+S227</f>
        <v>647.5</v>
      </c>
      <c r="T225" s="257">
        <f>T226+T227</f>
        <v>647.5</v>
      </c>
      <c r="U225" s="257">
        <f t="shared" ref="U225" si="341">U226+U227</f>
        <v>-446.39</v>
      </c>
      <c r="V225" s="257">
        <f>V226+V227</f>
        <v>647.5</v>
      </c>
      <c r="W225" s="257">
        <f t="shared" ref="W225" si="342">W226+W227</f>
        <v>-28.209999999999997</v>
      </c>
      <c r="X225" s="257">
        <f>X226+X227</f>
        <v>0</v>
      </c>
      <c r="Y225" s="257">
        <f t="shared" ref="Y225" si="343">Y226+Y227</f>
        <v>58.790000000000006</v>
      </c>
      <c r="Z225" s="257">
        <f>Z226+Z227</f>
        <v>58.790000000000006</v>
      </c>
    </row>
    <row r="226" spans="1:26" ht="18.75" customHeight="1" x14ac:dyDescent="0.2">
      <c r="A226" s="259" t="s">
        <v>78</v>
      </c>
      <c r="B226" s="252" t="s">
        <v>130</v>
      </c>
      <c r="C226" s="252" t="s">
        <v>202</v>
      </c>
      <c r="D226" s="252" t="s">
        <v>194</v>
      </c>
      <c r="E226" s="251" t="s">
        <v>1244</v>
      </c>
      <c r="F226" s="252" t="s">
        <v>77</v>
      </c>
      <c r="G226" s="257"/>
      <c r="H226" s="257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>
        <v>0</v>
      </c>
      <c r="S226" s="257">
        <v>641</v>
      </c>
      <c r="T226" s="257">
        <f t="shared" ref="T226:T227" si="344">R226+S226</f>
        <v>641</v>
      </c>
      <c r="U226" s="257">
        <v>-441.9</v>
      </c>
      <c r="V226" s="257">
        <v>641</v>
      </c>
      <c r="W226" s="257">
        <v>-27.9</v>
      </c>
      <c r="X226" s="257">
        <v>0</v>
      </c>
      <c r="Y226" s="257">
        <v>58.2</v>
      </c>
      <c r="Z226" s="257">
        <f t="shared" ref="Z226:Z227" si="345">X226+Y226</f>
        <v>58.2</v>
      </c>
    </row>
    <row r="227" spans="1:26" ht="18.75" customHeight="1" x14ac:dyDescent="0.2">
      <c r="A227" s="259" t="s">
        <v>1069</v>
      </c>
      <c r="B227" s="252" t="s">
        <v>130</v>
      </c>
      <c r="C227" s="252" t="s">
        <v>202</v>
      </c>
      <c r="D227" s="252" t="s">
        <v>194</v>
      </c>
      <c r="E227" s="251" t="s">
        <v>1244</v>
      </c>
      <c r="F227" s="252" t="s">
        <v>77</v>
      </c>
      <c r="G227" s="257"/>
      <c r="H227" s="257">
        <v>100</v>
      </c>
      <c r="I227" s="257">
        <v>0</v>
      </c>
      <c r="J227" s="257">
        <f>H227+I227</f>
        <v>100</v>
      </c>
      <c r="K227" s="257">
        <v>0</v>
      </c>
      <c r="L227" s="257">
        <v>100</v>
      </c>
      <c r="M227" s="257">
        <v>100</v>
      </c>
      <c r="N227" s="257">
        <v>0</v>
      </c>
      <c r="O227" s="257">
        <f t="shared" ref="O227" si="346">M227+N227</f>
        <v>100</v>
      </c>
      <c r="P227" s="257">
        <v>100</v>
      </c>
      <c r="Q227" s="257">
        <v>0</v>
      </c>
      <c r="R227" s="257">
        <v>0</v>
      </c>
      <c r="S227" s="257">
        <v>6.5</v>
      </c>
      <c r="T227" s="257">
        <f t="shared" si="344"/>
        <v>6.5</v>
      </c>
      <c r="U227" s="257">
        <v>-4.49</v>
      </c>
      <c r="V227" s="257">
        <v>6.5</v>
      </c>
      <c r="W227" s="257">
        <v>-0.31</v>
      </c>
      <c r="X227" s="257">
        <v>0</v>
      </c>
      <c r="Y227" s="257">
        <v>0.59</v>
      </c>
      <c r="Z227" s="257">
        <f t="shared" si="345"/>
        <v>0.59</v>
      </c>
    </row>
    <row r="228" spans="1:26" ht="27.75" customHeight="1" x14ac:dyDescent="0.2">
      <c r="A228" s="259" t="s">
        <v>76</v>
      </c>
      <c r="B228" s="252" t="s">
        <v>130</v>
      </c>
      <c r="C228" s="252" t="s">
        <v>202</v>
      </c>
      <c r="D228" s="252" t="s">
        <v>194</v>
      </c>
      <c r="E228" s="251" t="s">
        <v>1073</v>
      </c>
      <c r="F228" s="252" t="s">
        <v>77</v>
      </c>
      <c r="G228" s="257"/>
      <c r="H228" s="257"/>
      <c r="I228" s="257"/>
      <c r="J228" s="257"/>
      <c r="K228" s="257"/>
      <c r="L228" s="257"/>
      <c r="M228" s="257"/>
      <c r="N228" s="257"/>
      <c r="O228" s="257"/>
      <c r="P228" s="257"/>
      <c r="Q228" s="257"/>
      <c r="R228" s="257"/>
      <c r="S228" s="257">
        <v>300</v>
      </c>
      <c r="T228" s="257">
        <f t="shared" si="335"/>
        <v>300</v>
      </c>
      <c r="U228" s="257">
        <v>0</v>
      </c>
      <c r="V228" s="257">
        <v>300</v>
      </c>
      <c r="W228" s="257">
        <v>0</v>
      </c>
      <c r="X228" s="257">
        <v>300</v>
      </c>
      <c r="Y228" s="257">
        <v>0</v>
      </c>
      <c r="Z228" s="257">
        <f t="shared" si="336"/>
        <v>300</v>
      </c>
    </row>
    <row r="229" spans="1:26" ht="30.75" customHeight="1" x14ac:dyDescent="0.2">
      <c r="A229" s="259" t="s">
        <v>1074</v>
      </c>
      <c r="B229" s="252" t="s">
        <v>130</v>
      </c>
      <c r="C229" s="252" t="s">
        <v>202</v>
      </c>
      <c r="D229" s="252" t="s">
        <v>194</v>
      </c>
      <c r="E229" s="251" t="s">
        <v>782</v>
      </c>
      <c r="F229" s="252" t="s">
        <v>79</v>
      </c>
      <c r="G229" s="257"/>
      <c r="H229" s="257">
        <v>0</v>
      </c>
      <c r="I229" s="257">
        <v>200</v>
      </c>
      <c r="J229" s="257">
        <f>H229+I229</f>
        <v>200</v>
      </c>
      <c r="K229" s="257">
        <v>0</v>
      </c>
      <c r="L229" s="257">
        <v>200</v>
      </c>
      <c r="M229" s="257">
        <v>200</v>
      </c>
      <c r="N229" s="257">
        <v>0</v>
      </c>
      <c r="O229" s="257">
        <f>M229+N229</f>
        <v>200</v>
      </c>
      <c r="P229" s="257">
        <v>200</v>
      </c>
      <c r="Q229" s="257">
        <v>0</v>
      </c>
      <c r="R229" s="257">
        <f>P229+Q229</f>
        <v>200</v>
      </c>
      <c r="S229" s="257">
        <v>-50</v>
      </c>
      <c r="T229" s="257">
        <v>200</v>
      </c>
      <c r="U229" s="257">
        <v>-50</v>
      </c>
      <c r="V229" s="257">
        <v>200</v>
      </c>
      <c r="W229" s="257">
        <v>-50</v>
      </c>
      <c r="X229" s="257">
        <v>200</v>
      </c>
      <c r="Y229" s="257">
        <v>0</v>
      </c>
      <c r="Z229" s="257">
        <f t="shared" si="336"/>
        <v>200</v>
      </c>
    </row>
    <row r="230" spans="1:26" ht="21.75" customHeight="1" x14ac:dyDescent="0.2">
      <c r="A230" s="259" t="s">
        <v>723</v>
      </c>
      <c r="B230" s="252" t="s">
        <v>130</v>
      </c>
      <c r="C230" s="252" t="s">
        <v>202</v>
      </c>
      <c r="D230" s="252" t="s">
        <v>194</v>
      </c>
      <c r="E230" s="252" t="s">
        <v>820</v>
      </c>
      <c r="F230" s="252" t="s">
        <v>79</v>
      </c>
      <c r="G230" s="257"/>
      <c r="H230" s="257"/>
      <c r="I230" s="257"/>
      <c r="J230" s="257"/>
      <c r="K230" s="257"/>
      <c r="L230" s="257"/>
      <c r="M230" s="257"/>
      <c r="N230" s="257"/>
      <c r="O230" s="257"/>
      <c r="P230" s="257"/>
      <c r="Q230" s="257"/>
      <c r="R230" s="257">
        <v>0</v>
      </c>
      <c r="S230" s="257">
        <v>50</v>
      </c>
      <c r="T230" s="257">
        <f t="shared" ref="T230" si="347">R230+S230</f>
        <v>50</v>
      </c>
      <c r="U230" s="257">
        <v>0</v>
      </c>
      <c r="V230" s="257">
        <v>50</v>
      </c>
      <c r="W230" s="257">
        <v>0</v>
      </c>
      <c r="X230" s="257">
        <v>50</v>
      </c>
      <c r="Y230" s="257">
        <v>0</v>
      </c>
      <c r="Z230" s="257">
        <f t="shared" si="336"/>
        <v>50</v>
      </c>
    </row>
    <row r="231" spans="1:26" ht="22.5" customHeight="1" x14ac:dyDescent="0.2">
      <c r="A231" s="462" t="s">
        <v>1076</v>
      </c>
      <c r="B231" s="250" t="s">
        <v>130</v>
      </c>
      <c r="C231" s="250" t="s">
        <v>202</v>
      </c>
      <c r="D231" s="250" t="s">
        <v>194</v>
      </c>
      <c r="E231" s="253" t="s">
        <v>781</v>
      </c>
      <c r="F231" s="252"/>
      <c r="G231" s="257"/>
      <c r="H231" s="257">
        <f t="shared" ref="H231:Q231" si="348">H232+H240</f>
        <v>0</v>
      </c>
      <c r="I231" s="257">
        <f t="shared" si="348"/>
        <v>14733</v>
      </c>
      <c r="J231" s="257">
        <f t="shared" si="348"/>
        <v>14733</v>
      </c>
      <c r="K231" s="257">
        <f t="shared" si="348"/>
        <v>1338.38</v>
      </c>
      <c r="L231" s="257">
        <f t="shared" si="348"/>
        <v>15810</v>
      </c>
      <c r="M231" s="257">
        <f t="shared" si="348"/>
        <v>15810</v>
      </c>
      <c r="N231" s="257">
        <f t="shared" si="348"/>
        <v>-1720</v>
      </c>
      <c r="O231" s="257">
        <f t="shared" si="348"/>
        <v>14090</v>
      </c>
      <c r="P231" s="257">
        <f t="shared" si="348"/>
        <v>14090</v>
      </c>
      <c r="Q231" s="257">
        <f t="shared" si="348"/>
        <v>0</v>
      </c>
      <c r="R231" s="257">
        <f>R232+R233+R238+R240</f>
        <v>14090</v>
      </c>
      <c r="S231" s="257">
        <f t="shared" ref="S231:T231" si="349">S232+S233+S238+S240</f>
        <v>3100</v>
      </c>
      <c r="T231" s="257">
        <f t="shared" si="349"/>
        <v>19129</v>
      </c>
      <c r="U231" s="257">
        <f t="shared" ref="U231:V231" si="350">U232+U233+U238+U240</f>
        <v>-2941.2</v>
      </c>
      <c r="V231" s="257">
        <f t="shared" si="350"/>
        <v>16589</v>
      </c>
      <c r="W231" s="257">
        <f t="shared" ref="W231" si="351">W232+W233+W238+W240</f>
        <v>5750</v>
      </c>
      <c r="X231" s="257">
        <f>X232+X233+X238+X240+X241+X242+X239+X234+X235</f>
        <v>18188</v>
      </c>
      <c r="Y231" s="257">
        <f t="shared" ref="Y231:Z231" si="352">Y232+Y233+Y238+Y240+Y241+Y242+Y239+Y234+Y235</f>
        <v>-18188</v>
      </c>
      <c r="Z231" s="257">
        <f t="shared" si="352"/>
        <v>0</v>
      </c>
    </row>
    <row r="232" spans="1:26" ht="33.75" customHeight="1" x14ac:dyDescent="0.2">
      <c r="A232" s="259" t="s">
        <v>76</v>
      </c>
      <c r="B232" s="252" t="s">
        <v>130</v>
      </c>
      <c r="C232" s="252" t="s">
        <v>202</v>
      </c>
      <c r="D232" s="252" t="s">
        <v>194</v>
      </c>
      <c r="E232" s="251" t="s">
        <v>781</v>
      </c>
      <c r="F232" s="252" t="s">
        <v>77</v>
      </c>
      <c r="G232" s="257"/>
      <c r="H232" s="257">
        <v>0</v>
      </c>
      <c r="I232" s="257">
        <v>14013</v>
      </c>
      <c r="J232" s="257">
        <f>H232+I232</f>
        <v>14013</v>
      </c>
      <c r="K232" s="257">
        <v>1338.38</v>
      </c>
      <c r="L232" s="257">
        <f>12090+3000</f>
        <v>15090</v>
      </c>
      <c r="M232" s="257">
        <f>12090+3000</f>
        <v>15090</v>
      </c>
      <c r="N232" s="257">
        <v>-1700</v>
      </c>
      <c r="O232" s="257">
        <f>M232+N232</f>
        <v>13390</v>
      </c>
      <c r="P232" s="257">
        <v>13390</v>
      </c>
      <c r="Q232" s="257">
        <v>0</v>
      </c>
      <c r="R232" s="257">
        <f>P232+Q232</f>
        <v>13390</v>
      </c>
      <c r="S232" s="257">
        <f>879-1348-2952+941</f>
        <v>-2480</v>
      </c>
      <c r="T232" s="257">
        <v>14269</v>
      </c>
      <c r="U232" s="257">
        <f>-481-4655.2+575</f>
        <v>-4561.2</v>
      </c>
      <c r="V232" s="257">
        <v>14269</v>
      </c>
      <c r="W232" s="257">
        <v>3750</v>
      </c>
      <c r="X232" s="257">
        <v>13868</v>
      </c>
      <c r="Y232" s="257">
        <v>-13868</v>
      </c>
      <c r="Z232" s="257">
        <f t="shared" ref="Z232:Z241" si="353">X232+Y232</f>
        <v>0</v>
      </c>
    </row>
    <row r="233" spans="1:26" ht="33.75" customHeight="1" x14ac:dyDescent="0.2">
      <c r="A233" s="259" t="s">
        <v>76</v>
      </c>
      <c r="B233" s="252" t="s">
        <v>130</v>
      </c>
      <c r="C233" s="252" t="s">
        <v>202</v>
      </c>
      <c r="D233" s="252" t="s">
        <v>194</v>
      </c>
      <c r="E233" s="251" t="s">
        <v>1077</v>
      </c>
      <c r="F233" s="252" t="s">
        <v>77</v>
      </c>
      <c r="G233" s="257"/>
      <c r="H233" s="257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>
        <v>0</v>
      </c>
      <c r="S233" s="257">
        <f>4160</f>
        <v>4160</v>
      </c>
      <c r="T233" s="257">
        <f t="shared" ref="S233:T241" si="354">R233+S233</f>
        <v>4160</v>
      </c>
      <c r="U233" s="257">
        <v>0</v>
      </c>
      <c r="V233" s="257">
        <v>0</v>
      </c>
      <c r="W233" s="257">
        <v>2000</v>
      </c>
      <c r="X233" s="257">
        <v>2000</v>
      </c>
      <c r="Y233" s="257">
        <v>-2000</v>
      </c>
      <c r="Z233" s="257">
        <f t="shared" si="353"/>
        <v>0</v>
      </c>
    </row>
    <row r="234" spans="1:26" ht="33.75" hidden="1" customHeight="1" x14ac:dyDescent="0.2">
      <c r="A234" s="259" t="s">
        <v>76</v>
      </c>
      <c r="B234" s="252" t="s">
        <v>130</v>
      </c>
      <c r="C234" s="252" t="s">
        <v>202</v>
      </c>
      <c r="D234" s="252" t="s">
        <v>194</v>
      </c>
      <c r="E234" s="251" t="s">
        <v>1256</v>
      </c>
      <c r="F234" s="252" t="s">
        <v>77</v>
      </c>
      <c r="G234" s="257"/>
      <c r="H234" s="257"/>
      <c r="I234" s="257"/>
      <c r="J234" s="257"/>
      <c r="K234" s="257"/>
      <c r="L234" s="257"/>
      <c r="M234" s="257"/>
      <c r="N234" s="257"/>
      <c r="O234" s="257"/>
      <c r="P234" s="257"/>
      <c r="Q234" s="257"/>
      <c r="R234" s="257">
        <v>0</v>
      </c>
      <c r="S234" s="257">
        <f>4160</f>
        <v>4160</v>
      </c>
      <c r="T234" s="257">
        <f t="shared" ref="T234" si="355">R234+S234</f>
        <v>4160</v>
      </c>
      <c r="U234" s="257">
        <v>0</v>
      </c>
      <c r="V234" s="257">
        <v>0</v>
      </c>
      <c r="W234" s="257">
        <v>2000</v>
      </c>
      <c r="X234" s="257">
        <v>0</v>
      </c>
      <c r="Y234" s="257">
        <v>0</v>
      </c>
      <c r="Z234" s="257">
        <f t="shared" ref="Z234" si="356">X234+Y234</f>
        <v>0</v>
      </c>
    </row>
    <row r="235" spans="1:26" ht="33.75" hidden="1" customHeight="1" x14ac:dyDescent="0.2">
      <c r="A235" s="259" t="s">
        <v>1242</v>
      </c>
      <c r="B235" s="252" t="s">
        <v>130</v>
      </c>
      <c r="C235" s="252" t="s">
        <v>202</v>
      </c>
      <c r="D235" s="252" t="s">
        <v>194</v>
      </c>
      <c r="E235" s="251" t="s">
        <v>1245</v>
      </c>
      <c r="F235" s="252"/>
      <c r="G235" s="257"/>
      <c r="H235" s="257">
        <v>100</v>
      </c>
      <c r="I235" s="257">
        <v>0</v>
      </c>
      <c r="J235" s="257">
        <f>H235+I235</f>
        <v>100</v>
      </c>
      <c r="K235" s="257">
        <v>0</v>
      </c>
      <c r="L235" s="257">
        <v>100</v>
      </c>
      <c r="M235" s="257">
        <v>100</v>
      </c>
      <c r="N235" s="257">
        <v>0</v>
      </c>
      <c r="O235" s="257">
        <f t="shared" ref="O235" si="357">M235+N235</f>
        <v>100</v>
      </c>
      <c r="P235" s="257">
        <v>100</v>
      </c>
      <c r="Q235" s="257">
        <v>0</v>
      </c>
      <c r="R235" s="257">
        <f>R236+R237</f>
        <v>0</v>
      </c>
      <c r="S235" s="257">
        <f t="shared" ref="S235" si="358">S236+S237</f>
        <v>647.5</v>
      </c>
      <c r="T235" s="257">
        <f>T236+T237</f>
        <v>647.5</v>
      </c>
      <c r="U235" s="257">
        <f t="shared" ref="U235" si="359">U236+U237</f>
        <v>-446.39</v>
      </c>
      <c r="V235" s="257">
        <f>V236+V237</f>
        <v>647.5</v>
      </c>
      <c r="W235" s="257">
        <f t="shared" ref="W235" si="360">W236+W237</f>
        <v>-28.209999999999997</v>
      </c>
      <c r="X235" s="257">
        <f>X236+X237</f>
        <v>0</v>
      </c>
      <c r="Y235" s="257">
        <f t="shared" ref="Y235" si="361">Y236+Y237</f>
        <v>0</v>
      </c>
      <c r="Z235" s="257">
        <f>Z236+Z237</f>
        <v>0</v>
      </c>
    </row>
    <row r="236" spans="1:26" ht="19.5" hidden="1" customHeight="1" x14ac:dyDescent="0.2">
      <c r="A236" s="259" t="s">
        <v>78</v>
      </c>
      <c r="B236" s="252" t="s">
        <v>130</v>
      </c>
      <c r="C236" s="252" t="s">
        <v>202</v>
      </c>
      <c r="D236" s="252" t="s">
        <v>194</v>
      </c>
      <c r="E236" s="251" t="s">
        <v>1245</v>
      </c>
      <c r="F236" s="252" t="s">
        <v>77</v>
      </c>
      <c r="G236" s="257"/>
      <c r="H236" s="257"/>
      <c r="I236" s="257"/>
      <c r="J236" s="257"/>
      <c r="K236" s="257"/>
      <c r="L236" s="257"/>
      <c r="M236" s="257"/>
      <c r="N236" s="257"/>
      <c r="O236" s="257"/>
      <c r="P236" s="257"/>
      <c r="Q236" s="257"/>
      <c r="R236" s="257">
        <v>0</v>
      </c>
      <c r="S236" s="257">
        <v>641</v>
      </c>
      <c r="T236" s="257">
        <f t="shared" ref="T236:T237" si="362">R236+S236</f>
        <v>641</v>
      </c>
      <c r="U236" s="257">
        <v>-441.9</v>
      </c>
      <c r="V236" s="257">
        <v>641</v>
      </c>
      <c r="W236" s="257">
        <v>-27.9</v>
      </c>
      <c r="X236" s="257">
        <v>0</v>
      </c>
      <c r="Y236" s="257">
        <v>0</v>
      </c>
      <c r="Z236" s="257">
        <f t="shared" ref="Z236:Z237" si="363">X236+Y236</f>
        <v>0</v>
      </c>
    </row>
    <row r="237" spans="1:26" ht="19.5" hidden="1" customHeight="1" x14ac:dyDescent="0.2">
      <c r="A237" s="259" t="s">
        <v>1069</v>
      </c>
      <c r="B237" s="252" t="s">
        <v>130</v>
      </c>
      <c r="C237" s="252" t="s">
        <v>202</v>
      </c>
      <c r="D237" s="252" t="s">
        <v>194</v>
      </c>
      <c r="E237" s="251" t="s">
        <v>1245</v>
      </c>
      <c r="F237" s="252" t="s">
        <v>77</v>
      </c>
      <c r="G237" s="257"/>
      <c r="H237" s="257">
        <v>100</v>
      </c>
      <c r="I237" s="257">
        <v>0</v>
      </c>
      <c r="J237" s="257">
        <f>H237+I237</f>
        <v>100</v>
      </c>
      <c r="K237" s="257">
        <v>0</v>
      </c>
      <c r="L237" s="257">
        <v>100</v>
      </c>
      <c r="M237" s="257">
        <v>100</v>
      </c>
      <c r="N237" s="257">
        <v>0</v>
      </c>
      <c r="O237" s="257">
        <f t="shared" ref="O237" si="364">M237+N237</f>
        <v>100</v>
      </c>
      <c r="P237" s="257">
        <v>100</v>
      </c>
      <c r="Q237" s="257">
        <v>0</v>
      </c>
      <c r="R237" s="257">
        <v>0</v>
      </c>
      <c r="S237" s="257">
        <v>6.5</v>
      </c>
      <c r="T237" s="257">
        <f t="shared" si="362"/>
        <v>6.5</v>
      </c>
      <c r="U237" s="257">
        <v>-4.49</v>
      </c>
      <c r="V237" s="257">
        <v>6.5</v>
      </c>
      <c r="W237" s="257">
        <v>-0.31</v>
      </c>
      <c r="X237" s="257">
        <v>0</v>
      </c>
      <c r="Y237" s="257">
        <v>0</v>
      </c>
      <c r="Z237" s="257">
        <f t="shared" si="363"/>
        <v>0</v>
      </c>
    </row>
    <row r="238" spans="1:26" ht="33.75" customHeight="1" x14ac:dyDescent="0.2">
      <c r="A238" s="259" t="s">
        <v>76</v>
      </c>
      <c r="B238" s="252" t="s">
        <v>130</v>
      </c>
      <c r="C238" s="252" t="s">
        <v>202</v>
      </c>
      <c r="D238" s="252" t="s">
        <v>194</v>
      </c>
      <c r="E238" s="251" t="s">
        <v>1078</v>
      </c>
      <c r="F238" s="252" t="s">
        <v>77</v>
      </c>
      <c r="G238" s="257"/>
      <c r="H238" s="257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>
        <v>0</v>
      </c>
      <c r="S238" s="257">
        <v>1620</v>
      </c>
      <c r="T238" s="257">
        <v>0</v>
      </c>
      <c r="U238" s="257">
        <v>1620</v>
      </c>
      <c r="V238" s="257">
        <v>1620</v>
      </c>
      <c r="W238" s="257">
        <v>0</v>
      </c>
      <c r="X238" s="257">
        <v>1620</v>
      </c>
      <c r="Y238" s="257">
        <v>-1620</v>
      </c>
      <c r="Z238" s="257">
        <f t="shared" si="353"/>
        <v>0</v>
      </c>
    </row>
    <row r="239" spans="1:26" ht="33.75" hidden="1" customHeight="1" x14ac:dyDescent="0.2">
      <c r="A239" s="259" t="s">
        <v>1042</v>
      </c>
      <c r="B239" s="252" t="s">
        <v>130</v>
      </c>
      <c r="C239" s="252" t="s">
        <v>202</v>
      </c>
      <c r="D239" s="252" t="s">
        <v>194</v>
      </c>
      <c r="E239" s="251" t="s">
        <v>1261</v>
      </c>
      <c r="F239" s="252" t="s">
        <v>77</v>
      </c>
      <c r="G239" s="257"/>
      <c r="H239" s="257"/>
      <c r="I239" s="257"/>
      <c r="J239" s="257"/>
      <c r="K239" s="257"/>
      <c r="L239" s="257"/>
      <c r="M239" s="257"/>
      <c r="N239" s="257"/>
      <c r="O239" s="257"/>
      <c r="P239" s="257"/>
      <c r="Q239" s="257"/>
      <c r="R239" s="257"/>
      <c r="S239" s="257"/>
      <c r="T239" s="257">
        <v>0</v>
      </c>
      <c r="U239" s="257">
        <v>165</v>
      </c>
      <c r="V239" s="257">
        <v>0</v>
      </c>
      <c r="W239" s="257">
        <v>900</v>
      </c>
      <c r="X239" s="257">
        <v>0</v>
      </c>
      <c r="Y239" s="257">
        <v>0</v>
      </c>
      <c r="Z239" s="257">
        <f>X239+Y239</f>
        <v>0</v>
      </c>
    </row>
    <row r="240" spans="1:26" ht="18.75" customHeight="1" x14ac:dyDescent="0.2">
      <c r="A240" s="259" t="s">
        <v>537</v>
      </c>
      <c r="B240" s="252" t="s">
        <v>130</v>
      </c>
      <c r="C240" s="252" t="s">
        <v>202</v>
      </c>
      <c r="D240" s="252" t="s">
        <v>194</v>
      </c>
      <c r="E240" s="251" t="s">
        <v>781</v>
      </c>
      <c r="F240" s="252" t="s">
        <v>79</v>
      </c>
      <c r="G240" s="257"/>
      <c r="H240" s="257">
        <v>0</v>
      </c>
      <c r="I240" s="257">
        <v>720</v>
      </c>
      <c r="J240" s="257">
        <f>H240+I240</f>
        <v>720</v>
      </c>
      <c r="K240" s="257">
        <v>0</v>
      </c>
      <c r="L240" s="257">
        <v>720</v>
      </c>
      <c r="M240" s="257">
        <v>720</v>
      </c>
      <c r="N240" s="257">
        <v>-20</v>
      </c>
      <c r="O240" s="257">
        <f>M240+N240</f>
        <v>700</v>
      </c>
      <c r="P240" s="257">
        <v>700</v>
      </c>
      <c r="Q240" s="257">
        <v>0</v>
      </c>
      <c r="R240" s="257">
        <f t="shared" ref="R240:R303" si="365">P240+Q240</f>
        <v>700</v>
      </c>
      <c r="S240" s="257">
        <v>-200</v>
      </c>
      <c r="T240" s="257">
        <v>700</v>
      </c>
      <c r="U240" s="257">
        <v>0</v>
      </c>
      <c r="V240" s="257">
        <v>700</v>
      </c>
      <c r="W240" s="257">
        <v>0</v>
      </c>
      <c r="X240" s="257">
        <v>700</v>
      </c>
      <c r="Y240" s="257">
        <v>-700</v>
      </c>
      <c r="Z240" s="257">
        <f t="shared" si="353"/>
        <v>0</v>
      </c>
    </row>
    <row r="241" spans="1:26" ht="33.75" hidden="1" customHeight="1" x14ac:dyDescent="0.2">
      <c r="A241" s="259" t="s">
        <v>1194</v>
      </c>
      <c r="B241" s="252" t="s">
        <v>130</v>
      </c>
      <c r="C241" s="252" t="s">
        <v>202</v>
      </c>
      <c r="D241" s="252" t="s">
        <v>194</v>
      </c>
      <c r="E241" s="251" t="s">
        <v>863</v>
      </c>
      <c r="F241" s="252" t="s">
        <v>1067</v>
      </c>
      <c r="G241" s="257"/>
      <c r="H241" s="257">
        <v>500</v>
      </c>
      <c r="I241" s="257">
        <v>1000</v>
      </c>
      <c r="J241" s="257">
        <v>1500</v>
      </c>
      <c r="K241" s="257">
        <v>168</v>
      </c>
      <c r="L241" s="257">
        <v>0</v>
      </c>
      <c r="M241" s="257">
        <v>0</v>
      </c>
      <c r="N241" s="257">
        <v>0</v>
      </c>
      <c r="O241" s="257">
        <v>0</v>
      </c>
      <c r="P241" s="257">
        <v>0</v>
      </c>
      <c r="Q241" s="257">
        <v>0</v>
      </c>
      <c r="R241" s="257">
        <f t="shared" si="365"/>
        <v>0</v>
      </c>
      <c r="S241" s="257">
        <f t="shared" si="354"/>
        <v>0</v>
      </c>
      <c r="T241" s="257">
        <f t="shared" si="354"/>
        <v>0</v>
      </c>
      <c r="U241" s="257">
        <f t="shared" ref="U241" si="366">S241+T241</f>
        <v>0</v>
      </c>
      <c r="V241" s="257">
        <f t="shared" ref="V241" si="367">T241+U241</f>
        <v>0</v>
      </c>
      <c r="W241" s="257">
        <f t="shared" ref="W241" si="368">U241+V241</f>
        <v>0</v>
      </c>
      <c r="X241" s="257">
        <f t="shared" ref="X241" si="369">V241+W241</f>
        <v>0</v>
      </c>
      <c r="Y241" s="257">
        <v>0</v>
      </c>
      <c r="Z241" s="257">
        <f t="shared" si="353"/>
        <v>0</v>
      </c>
    </row>
    <row r="242" spans="1:26" ht="33.75" hidden="1" customHeight="1" x14ac:dyDescent="0.2">
      <c r="A242" s="259" t="s">
        <v>1200</v>
      </c>
      <c r="B242" s="252" t="s">
        <v>130</v>
      </c>
      <c r="C242" s="252" t="s">
        <v>202</v>
      </c>
      <c r="D242" s="252" t="s">
        <v>194</v>
      </c>
      <c r="E242" s="251" t="s">
        <v>1201</v>
      </c>
      <c r="F242" s="252"/>
      <c r="G242" s="257"/>
      <c r="H242" s="257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/>
      <c r="S242" s="257"/>
      <c r="T242" s="257">
        <f>T243+T244</f>
        <v>0</v>
      </c>
      <c r="U242" s="257">
        <f t="shared" ref="U242:Z242" si="370">U243+U244</f>
        <v>14310</v>
      </c>
      <c r="V242" s="257">
        <f t="shared" si="370"/>
        <v>15394.8</v>
      </c>
      <c r="W242" s="257">
        <f t="shared" si="370"/>
        <v>549.5</v>
      </c>
      <c r="X242" s="257">
        <f t="shared" si="370"/>
        <v>0</v>
      </c>
      <c r="Y242" s="257">
        <f t="shared" si="370"/>
        <v>0</v>
      </c>
      <c r="Z242" s="257">
        <f t="shared" si="370"/>
        <v>0</v>
      </c>
    </row>
    <row r="243" spans="1:26" ht="21.75" hidden="1" customHeight="1" x14ac:dyDescent="0.2">
      <c r="A243" s="259" t="s">
        <v>78</v>
      </c>
      <c r="B243" s="252" t="s">
        <v>130</v>
      </c>
      <c r="C243" s="252" t="s">
        <v>202</v>
      </c>
      <c r="D243" s="252" t="s">
        <v>194</v>
      </c>
      <c r="E243" s="251" t="s">
        <v>1201</v>
      </c>
      <c r="F243" s="252" t="s">
        <v>79</v>
      </c>
      <c r="G243" s="257"/>
      <c r="H243" s="257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>
        <v>0</v>
      </c>
      <c r="U243" s="257">
        <v>14166.9</v>
      </c>
      <c r="V243" s="257">
        <v>15240.9</v>
      </c>
      <c r="W243" s="257">
        <v>543.9</v>
      </c>
      <c r="X243" s="257">
        <v>0</v>
      </c>
      <c r="Y243" s="257">
        <v>0</v>
      </c>
      <c r="Z243" s="257">
        <f>X243+Y243</f>
        <v>0</v>
      </c>
    </row>
    <row r="244" spans="1:26" ht="21.75" hidden="1" customHeight="1" x14ac:dyDescent="0.2">
      <c r="A244" s="259" t="s">
        <v>1071</v>
      </c>
      <c r="B244" s="252" t="s">
        <v>130</v>
      </c>
      <c r="C244" s="252" t="s">
        <v>202</v>
      </c>
      <c r="D244" s="252" t="s">
        <v>194</v>
      </c>
      <c r="E244" s="251" t="s">
        <v>1201</v>
      </c>
      <c r="F244" s="252" t="s">
        <v>79</v>
      </c>
      <c r="G244" s="257"/>
      <c r="H244" s="257"/>
      <c r="I244" s="257"/>
      <c r="J244" s="257"/>
      <c r="K244" s="257"/>
      <c r="L244" s="257"/>
      <c r="M244" s="257"/>
      <c r="N244" s="257"/>
      <c r="O244" s="257"/>
      <c r="P244" s="257"/>
      <c r="Q244" s="257"/>
      <c r="R244" s="257"/>
      <c r="S244" s="257"/>
      <c r="T244" s="257">
        <v>0</v>
      </c>
      <c r="U244" s="257">
        <v>143.1</v>
      </c>
      <c r="V244" s="257">
        <v>153.9</v>
      </c>
      <c r="W244" s="257">
        <v>5.6</v>
      </c>
      <c r="X244" s="257">
        <v>0</v>
      </c>
      <c r="Y244" s="257">
        <v>0</v>
      </c>
      <c r="Z244" s="257">
        <f>X244+Y244</f>
        <v>0</v>
      </c>
    </row>
    <row r="245" spans="1:26" ht="17.25" customHeight="1" x14ac:dyDescent="0.2">
      <c r="A245" s="462" t="s">
        <v>230</v>
      </c>
      <c r="B245" s="250" t="s">
        <v>130</v>
      </c>
      <c r="C245" s="250" t="s">
        <v>202</v>
      </c>
      <c r="D245" s="250" t="s">
        <v>202</v>
      </c>
      <c r="E245" s="253"/>
      <c r="F245" s="250"/>
      <c r="G245" s="261" t="e">
        <f>#REF!+#REF!+#REF!+#REF!+G246+G250+G252+#REF!</f>
        <v>#REF!</v>
      </c>
      <c r="H245" s="261">
        <f t="shared" ref="H245:R245" si="371">H246+H250+H252</f>
        <v>2217</v>
      </c>
      <c r="I245" s="261">
        <f t="shared" si="371"/>
        <v>0</v>
      </c>
      <c r="J245" s="261">
        <f t="shared" si="371"/>
        <v>2217</v>
      </c>
      <c r="K245" s="261">
        <f t="shared" si="371"/>
        <v>-69.400000000000006</v>
      </c>
      <c r="L245" s="261">
        <f t="shared" si="371"/>
        <v>1956.6</v>
      </c>
      <c r="M245" s="261">
        <f t="shared" si="371"/>
        <v>1956.6</v>
      </c>
      <c r="N245" s="261">
        <f t="shared" si="371"/>
        <v>-67.7</v>
      </c>
      <c r="O245" s="261">
        <f t="shared" si="371"/>
        <v>1888.8999999999999</v>
      </c>
      <c r="P245" s="261">
        <f t="shared" si="371"/>
        <v>1888.9</v>
      </c>
      <c r="Q245" s="261">
        <f t="shared" si="371"/>
        <v>4.3</v>
      </c>
      <c r="R245" s="261">
        <f t="shared" si="371"/>
        <v>1893.2</v>
      </c>
      <c r="S245" s="261">
        <f t="shared" ref="S245:T245" si="372">S246+S250+S252</f>
        <v>-135.5</v>
      </c>
      <c r="T245" s="261">
        <f t="shared" si="372"/>
        <v>2007.7</v>
      </c>
      <c r="U245" s="261">
        <f t="shared" ref="U245:V245" si="373">U246+U250+U252</f>
        <v>-200</v>
      </c>
      <c r="V245" s="261">
        <f t="shared" si="373"/>
        <v>2007.7</v>
      </c>
      <c r="W245" s="261">
        <f t="shared" ref="W245:X245" si="374">W246+W250+W252</f>
        <v>-29.599999999999994</v>
      </c>
      <c r="X245" s="261">
        <f t="shared" si="374"/>
        <v>2768.9</v>
      </c>
      <c r="Y245" s="261">
        <f t="shared" ref="Y245:Z245" si="375">Y246+Y250+Y252</f>
        <v>-2768.9</v>
      </c>
      <c r="Z245" s="261">
        <f t="shared" si="375"/>
        <v>0</v>
      </c>
    </row>
    <row r="246" spans="1:26" x14ac:dyDescent="0.2">
      <c r="A246" s="259" t="s">
        <v>754</v>
      </c>
      <c r="B246" s="252" t="s">
        <v>130</v>
      </c>
      <c r="C246" s="252" t="s">
        <v>202</v>
      </c>
      <c r="D246" s="252" t="s">
        <v>202</v>
      </c>
      <c r="E246" s="251" t="s">
        <v>753</v>
      </c>
      <c r="F246" s="252"/>
      <c r="G246" s="257"/>
      <c r="H246" s="257">
        <f>H249</f>
        <v>500</v>
      </c>
      <c r="I246" s="257">
        <f>I249</f>
        <v>0</v>
      </c>
      <c r="J246" s="257">
        <f>H246+I246</f>
        <v>500</v>
      </c>
      <c r="K246" s="257">
        <f>K249+K247+K248</f>
        <v>-69.400000000000006</v>
      </c>
      <c r="L246" s="257">
        <f>L249+L247+L248</f>
        <v>384</v>
      </c>
      <c r="M246" s="257">
        <f>M249+M247+M248</f>
        <v>384</v>
      </c>
      <c r="N246" s="257">
        <f t="shared" ref="N246:R246" si="376">N249+N247+N248</f>
        <v>0</v>
      </c>
      <c r="O246" s="257">
        <f t="shared" si="376"/>
        <v>384</v>
      </c>
      <c r="P246" s="257">
        <f t="shared" si="376"/>
        <v>384</v>
      </c>
      <c r="Q246" s="257">
        <f t="shared" si="376"/>
        <v>0</v>
      </c>
      <c r="R246" s="257">
        <f t="shared" si="376"/>
        <v>384</v>
      </c>
      <c r="S246" s="257">
        <f t="shared" ref="S246:T246" si="377">S249+S247+S248</f>
        <v>-200</v>
      </c>
      <c r="T246" s="257">
        <f t="shared" si="377"/>
        <v>384</v>
      </c>
      <c r="U246" s="257">
        <f t="shared" ref="U246:V246" si="378">U249+U247+U248</f>
        <v>-200</v>
      </c>
      <c r="V246" s="257">
        <f t="shared" si="378"/>
        <v>384</v>
      </c>
      <c r="W246" s="257">
        <f t="shared" ref="W246:X246" si="379">W249+W247+W248</f>
        <v>-200</v>
      </c>
      <c r="X246" s="257">
        <f t="shared" si="379"/>
        <v>384</v>
      </c>
      <c r="Y246" s="257">
        <f t="shared" ref="Y246:Z246" si="380">Y249+Y247+Y248</f>
        <v>-384</v>
      </c>
      <c r="Z246" s="257">
        <f t="shared" si="380"/>
        <v>0</v>
      </c>
    </row>
    <row r="247" spans="1:26" hidden="1" x14ac:dyDescent="0.2">
      <c r="A247" s="259" t="s">
        <v>97</v>
      </c>
      <c r="B247" s="252" t="s">
        <v>130</v>
      </c>
      <c r="C247" s="252" t="s">
        <v>202</v>
      </c>
      <c r="D247" s="252" t="s">
        <v>202</v>
      </c>
      <c r="E247" s="251" t="s">
        <v>753</v>
      </c>
      <c r="F247" s="252" t="s">
        <v>919</v>
      </c>
      <c r="G247" s="257"/>
      <c r="H247" s="257"/>
      <c r="I247" s="257"/>
      <c r="J247" s="257">
        <v>0</v>
      </c>
      <c r="K247" s="257">
        <v>70</v>
      </c>
      <c r="L247" s="257">
        <v>0</v>
      </c>
      <c r="M247" s="257">
        <v>0</v>
      </c>
      <c r="N247" s="257">
        <v>0</v>
      </c>
      <c r="O247" s="257">
        <v>0</v>
      </c>
      <c r="P247" s="257">
        <v>0</v>
      </c>
      <c r="Q247" s="257">
        <v>0</v>
      </c>
      <c r="R247" s="257">
        <f t="shared" si="365"/>
        <v>0</v>
      </c>
      <c r="S247" s="257">
        <f t="shared" ref="S247:S248" si="381">Q247+R247</f>
        <v>0</v>
      </c>
      <c r="T247" s="257">
        <f t="shared" ref="T247:T248" si="382">R247+S247</f>
        <v>0</v>
      </c>
      <c r="U247" s="257">
        <f t="shared" ref="U247:U248" si="383">S247+T247</f>
        <v>0</v>
      </c>
      <c r="V247" s="257">
        <f t="shared" ref="V247:V248" si="384">T247+U247</f>
        <v>0</v>
      </c>
      <c r="W247" s="257">
        <f t="shared" ref="W247:W248" si="385">U247+V247</f>
        <v>0</v>
      </c>
      <c r="X247" s="257">
        <f t="shared" ref="X247:X248" si="386">V247+W247</f>
        <v>0</v>
      </c>
      <c r="Y247" s="257">
        <f t="shared" ref="Y247:Y248" si="387">W247+X247</f>
        <v>0</v>
      </c>
      <c r="Z247" s="257">
        <f t="shared" ref="Z247:Z249" si="388">X247+Y247</f>
        <v>0</v>
      </c>
    </row>
    <row r="248" spans="1:26" hidden="1" x14ac:dyDescent="0.2">
      <c r="A248" s="259" t="s">
        <v>121</v>
      </c>
      <c r="B248" s="252" t="s">
        <v>130</v>
      </c>
      <c r="C248" s="252" t="s">
        <v>202</v>
      </c>
      <c r="D248" s="252" t="s">
        <v>202</v>
      </c>
      <c r="E248" s="251" t="s">
        <v>753</v>
      </c>
      <c r="F248" s="252" t="s">
        <v>94</v>
      </c>
      <c r="G248" s="257"/>
      <c r="H248" s="257"/>
      <c r="I248" s="257"/>
      <c r="J248" s="257">
        <v>0</v>
      </c>
      <c r="K248" s="257">
        <v>110.6</v>
      </c>
      <c r="L248" s="257">
        <v>0</v>
      </c>
      <c r="M248" s="257">
        <v>0</v>
      </c>
      <c r="N248" s="257">
        <v>0</v>
      </c>
      <c r="O248" s="257">
        <v>0</v>
      </c>
      <c r="P248" s="257">
        <v>0</v>
      </c>
      <c r="Q248" s="257">
        <v>0</v>
      </c>
      <c r="R248" s="257">
        <f t="shared" si="365"/>
        <v>0</v>
      </c>
      <c r="S248" s="257">
        <f t="shared" si="381"/>
        <v>0</v>
      </c>
      <c r="T248" s="257">
        <f t="shared" si="382"/>
        <v>0</v>
      </c>
      <c r="U248" s="257">
        <f t="shared" si="383"/>
        <v>0</v>
      </c>
      <c r="V248" s="257">
        <f t="shared" si="384"/>
        <v>0</v>
      </c>
      <c r="W248" s="257">
        <f t="shared" si="385"/>
        <v>0</v>
      </c>
      <c r="X248" s="257">
        <f t="shared" si="386"/>
        <v>0</v>
      </c>
      <c r="Y248" s="257">
        <f t="shared" si="387"/>
        <v>0</v>
      </c>
      <c r="Z248" s="257">
        <f t="shared" si="388"/>
        <v>0</v>
      </c>
    </row>
    <row r="249" spans="1:26" x14ac:dyDescent="0.2">
      <c r="A249" s="259" t="s">
        <v>78</v>
      </c>
      <c r="B249" s="252" t="s">
        <v>130</v>
      </c>
      <c r="C249" s="252" t="s">
        <v>202</v>
      </c>
      <c r="D249" s="252" t="s">
        <v>202</v>
      </c>
      <c r="E249" s="251" t="s">
        <v>753</v>
      </c>
      <c r="F249" s="252" t="s">
        <v>79</v>
      </c>
      <c r="G249" s="257"/>
      <c r="H249" s="257">
        <v>500</v>
      </c>
      <c r="I249" s="257">
        <v>0</v>
      </c>
      <c r="J249" s="257">
        <f t="shared" ref="J249:J254" si="389">H249+I249</f>
        <v>500</v>
      </c>
      <c r="K249" s="257">
        <v>-250</v>
      </c>
      <c r="L249" s="257">
        <v>384</v>
      </c>
      <c r="M249" s="257">
        <v>384</v>
      </c>
      <c r="N249" s="257">
        <v>0</v>
      </c>
      <c r="O249" s="257">
        <f>M249+N249</f>
        <v>384</v>
      </c>
      <c r="P249" s="257">
        <v>384</v>
      </c>
      <c r="Q249" s="257">
        <v>0</v>
      </c>
      <c r="R249" s="257">
        <f t="shared" si="365"/>
        <v>384</v>
      </c>
      <c r="S249" s="257">
        <v>-200</v>
      </c>
      <c r="T249" s="257">
        <v>384</v>
      </c>
      <c r="U249" s="257">
        <v>-200</v>
      </c>
      <c r="V249" s="257">
        <v>384</v>
      </c>
      <c r="W249" s="257">
        <v>-200</v>
      </c>
      <c r="X249" s="257">
        <v>384</v>
      </c>
      <c r="Y249" s="257">
        <v>-384</v>
      </c>
      <c r="Z249" s="257">
        <f t="shared" si="388"/>
        <v>0</v>
      </c>
    </row>
    <row r="250" spans="1:26" x14ac:dyDescent="0.2">
      <c r="A250" s="259" t="s">
        <v>883</v>
      </c>
      <c r="B250" s="252" t="s">
        <v>130</v>
      </c>
      <c r="C250" s="252" t="s">
        <v>202</v>
      </c>
      <c r="D250" s="252" t="s">
        <v>202</v>
      </c>
      <c r="E250" s="251" t="s">
        <v>752</v>
      </c>
      <c r="F250" s="252"/>
      <c r="G250" s="257" t="e">
        <f>G251+#REF!</f>
        <v>#REF!</v>
      </c>
      <c r="H250" s="257">
        <f>H251</f>
        <v>220</v>
      </c>
      <c r="I250" s="257">
        <f>I251</f>
        <v>0</v>
      </c>
      <c r="J250" s="257">
        <f t="shared" si="389"/>
        <v>220</v>
      </c>
      <c r="K250" s="257">
        <f>K251</f>
        <v>0</v>
      </c>
      <c r="L250" s="257">
        <f>L251</f>
        <v>100</v>
      </c>
      <c r="M250" s="257">
        <f>M251</f>
        <v>100</v>
      </c>
      <c r="N250" s="257">
        <f t="shared" ref="N250:Z250" si="390">N251</f>
        <v>0</v>
      </c>
      <c r="O250" s="257">
        <f t="shared" si="390"/>
        <v>100</v>
      </c>
      <c r="P250" s="257">
        <f t="shared" si="390"/>
        <v>100</v>
      </c>
      <c r="Q250" s="257">
        <f t="shared" si="390"/>
        <v>0</v>
      </c>
      <c r="R250" s="257">
        <f t="shared" si="390"/>
        <v>100</v>
      </c>
      <c r="S250" s="257">
        <f t="shared" si="390"/>
        <v>-50</v>
      </c>
      <c r="T250" s="257">
        <f t="shared" si="390"/>
        <v>100</v>
      </c>
      <c r="U250" s="257">
        <f t="shared" si="390"/>
        <v>0</v>
      </c>
      <c r="V250" s="257">
        <f t="shared" si="390"/>
        <v>100</v>
      </c>
      <c r="W250" s="257">
        <f t="shared" si="390"/>
        <v>100</v>
      </c>
      <c r="X250" s="257">
        <f t="shared" si="390"/>
        <v>100</v>
      </c>
      <c r="Y250" s="257">
        <f t="shared" si="390"/>
        <v>-100</v>
      </c>
      <c r="Z250" s="257">
        <f t="shared" si="390"/>
        <v>0</v>
      </c>
    </row>
    <row r="251" spans="1:26" x14ac:dyDescent="0.2">
      <c r="A251" s="259" t="s">
        <v>121</v>
      </c>
      <c r="B251" s="252" t="s">
        <v>130</v>
      </c>
      <c r="C251" s="252" t="s">
        <v>202</v>
      </c>
      <c r="D251" s="252" t="s">
        <v>202</v>
      </c>
      <c r="E251" s="251" t="s">
        <v>752</v>
      </c>
      <c r="F251" s="252" t="s">
        <v>94</v>
      </c>
      <c r="G251" s="257"/>
      <c r="H251" s="257">
        <v>220</v>
      </c>
      <c r="I251" s="257">
        <v>0</v>
      </c>
      <c r="J251" s="257">
        <f t="shared" si="389"/>
        <v>220</v>
      </c>
      <c r="K251" s="257">
        <v>0</v>
      </c>
      <c r="L251" s="257">
        <v>100</v>
      </c>
      <c r="M251" s="257">
        <v>100</v>
      </c>
      <c r="N251" s="257">
        <v>0</v>
      </c>
      <c r="O251" s="257">
        <f>M251+N251</f>
        <v>100</v>
      </c>
      <c r="P251" s="257">
        <v>100</v>
      </c>
      <c r="Q251" s="257">
        <v>0</v>
      </c>
      <c r="R251" s="257">
        <f t="shared" si="365"/>
        <v>100</v>
      </c>
      <c r="S251" s="257">
        <v>-50</v>
      </c>
      <c r="T251" s="257">
        <v>100</v>
      </c>
      <c r="U251" s="257">
        <v>0</v>
      </c>
      <c r="V251" s="257">
        <v>100</v>
      </c>
      <c r="W251" s="257">
        <v>100</v>
      </c>
      <c r="X251" s="257">
        <v>100</v>
      </c>
      <c r="Y251" s="257">
        <v>-100</v>
      </c>
      <c r="Z251" s="257">
        <f t="shared" ref="Z251" si="391">X251+Y251</f>
        <v>0</v>
      </c>
    </row>
    <row r="252" spans="1:26" ht="30" x14ac:dyDescent="0.2">
      <c r="A252" s="259" t="s">
        <v>750</v>
      </c>
      <c r="B252" s="252" t="s">
        <v>130</v>
      </c>
      <c r="C252" s="252" t="s">
        <v>202</v>
      </c>
      <c r="D252" s="252" t="s">
        <v>202</v>
      </c>
      <c r="E252" s="251" t="s">
        <v>947</v>
      </c>
      <c r="F252" s="252"/>
      <c r="G252" s="257">
        <f>G254</f>
        <v>0</v>
      </c>
      <c r="H252" s="257">
        <f>H254</f>
        <v>1497</v>
      </c>
      <c r="I252" s="257">
        <f>I254</f>
        <v>0</v>
      </c>
      <c r="J252" s="257">
        <f t="shared" si="389"/>
        <v>1497</v>
      </c>
      <c r="K252" s="257">
        <f>K253+K254</f>
        <v>0</v>
      </c>
      <c r="L252" s="257">
        <f>L253+L254</f>
        <v>1472.6</v>
      </c>
      <c r="M252" s="257">
        <f>M253+M254</f>
        <v>1472.6</v>
      </c>
      <c r="N252" s="257">
        <f t="shared" ref="N252:R252" si="392">N253+N254</f>
        <v>-67.7</v>
      </c>
      <c r="O252" s="257">
        <f t="shared" si="392"/>
        <v>1404.8999999999999</v>
      </c>
      <c r="P252" s="257">
        <f t="shared" si="392"/>
        <v>1404.9</v>
      </c>
      <c r="Q252" s="257">
        <f t="shared" si="392"/>
        <v>4.3</v>
      </c>
      <c r="R252" s="257">
        <f t="shared" si="392"/>
        <v>1409.2</v>
      </c>
      <c r="S252" s="257">
        <f t="shared" ref="S252:T252" si="393">S253+S254</f>
        <v>114.5</v>
      </c>
      <c r="T252" s="257">
        <f t="shared" si="393"/>
        <v>1523.7</v>
      </c>
      <c r="U252" s="257">
        <f t="shared" ref="U252:V252" si="394">U253+U254</f>
        <v>0</v>
      </c>
      <c r="V252" s="257">
        <f t="shared" si="394"/>
        <v>1523.7</v>
      </c>
      <c r="W252" s="257">
        <f t="shared" ref="W252" si="395">W253+W254</f>
        <v>70.400000000000006</v>
      </c>
      <c r="X252" s="257">
        <f>X253+X254</f>
        <v>2284.9</v>
      </c>
      <c r="Y252" s="257">
        <f t="shared" ref="Y252:Z252" si="396">Y253+Y254</f>
        <v>-2284.9</v>
      </c>
      <c r="Z252" s="257">
        <f t="shared" si="396"/>
        <v>0</v>
      </c>
    </row>
    <row r="253" spans="1:26" hidden="1" x14ac:dyDescent="0.2">
      <c r="A253" s="259" t="s">
        <v>138</v>
      </c>
      <c r="B253" s="252" t="s">
        <v>130</v>
      </c>
      <c r="C253" s="252" t="s">
        <v>392</v>
      </c>
      <c r="D253" s="252" t="s">
        <v>392</v>
      </c>
      <c r="E253" s="251" t="s">
        <v>947</v>
      </c>
      <c r="F253" s="252" t="s">
        <v>139</v>
      </c>
      <c r="G253" s="257"/>
      <c r="H253" s="257">
        <v>1497</v>
      </c>
      <c r="I253" s="257">
        <v>0</v>
      </c>
      <c r="J253" s="257">
        <v>0</v>
      </c>
      <c r="K253" s="257">
        <v>503.89</v>
      </c>
      <c r="L253" s="257">
        <v>0</v>
      </c>
      <c r="M253" s="257">
        <v>0</v>
      </c>
      <c r="N253" s="257">
        <v>0</v>
      </c>
      <c r="O253" s="257">
        <v>0</v>
      </c>
      <c r="P253" s="257">
        <v>0</v>
      </c>
      <c r="Q253" s="257">
        <v>0</v>
      </c>
      <c r="R253" s="257">
        <f t="shared" si="365"/>
        <v>0</v>
      </c>
      <c r="S253" s="257">
        <f t="shared" ref="S253" si="397">Q253+R253</f>
        <v>0</v>
      </c>
      <c r="T253" s="257">
        <f t="shared" ref="T253" si="398">R253+S253</f>
        <v>0</v>
      </c>
      <c r="U253" s="257">
        <f t="shared" ref="U253" si="399">S253+T253</f>
        <v>0</v>
      </c>
      <c r="V253" s="257">
        <f t="shared" ref="V253" si="400">T253+U253</f>
        <v>0</v>
      </c>
      <c r="W253" s="257">
        <f t="shared" ref="W253" si="401">U253+V253</f>
        <v>0</v>
      </c>
      <c r="X253" s="257">
        <f t="shared" ref="X253" si="402">V253+W253</f>
        <v>0</v>
      </c>
      <c r="Y253" s="257">
        <f t="shared" ref="Y253" si="403">W253+X253</f>
        <v>0</v>
      </c>
      <c r="Z253" s="257">
        <f t="shared" ref="Z253:Z254" si="404">X253+Y253</f>
        <v>0</v>
      </c>
    </row>
    <row r="254" spans="1:26" x14ac:dyDescent="0.2">
      <c r="A254" s="259" t="s">
        <v>78</v>
      </c>
      <c r="B254" s="252" t="s">
        <v>130</v>
      </c>
      <c r="C254" s="252" t="s">
        <v>392</v>
      </c>
      <c r="D254" s="252" t="s">
        <v>392</v>
      </c>
      <c r="E254" s="251" t="s">
        <v>947</v>
      </c>
      <c r="F254" s="252" t="s">
        <v>79</v>
      </c>
      <c r="G254" s="257"/>
      <c r="H254" s="257">
        <v>1497</v>
      </c>
      <c r="I254" s="257">
        <v>0</v>
      </c>
      <c r="J254" s="257">
        <f t="shared" si="389"/>
        <v>1497</v>
      </c>
      <c r="K254" s="257">
        <v>-503.89</v>
      </c>
      <c r="L254" s="257">
        <v>1472.6</v>
      </c>
      <c r="M254" s="257">
        <v>1472.6</v>
      </c>
      <c r="N254" s="257">
        <v>-67.7</v>
      </c>
      <c r="O254" s="257">
        <f>M254+N254</f>
        <v>1404.8999999999999</v>
      </c>
      <c r="P254" s="257">
        <v>1404.9</v>
      </c>
      <c r="Q254" s="257">
        <v>4.3</v>
      </c>
      <c r="R254" s="257">
        <f t="shared" si="365"/>
        <v>1409.2</v>
      </c>
      <c r="S254" s="257">
        <v>114.5</v>
      </c>
      <c r="T254" s="257">
        <v>1523.7</v>
      </c>
      <c r="U254" s="257">
        <v>0</v>
      </c>
      <c r="V254" s="257">
        <v>1523.7</v>
      </c>
      <c r="W254" s="257">
        <v>70.400000000000006</v>
      </c>
      <c r="X254" s="257">
        <v>2284.9</v>
      </c>
      <c r="Y254" s="257">
        <v>-2284.9</v>
      </c>
      <c r="Z254" s="257">
        <f t="shared" si="404"/>
        <v>0</v>
      </c>
    </row>
    <row r="255" spans="1:26" x14ac:dyDescent="0.2">
      <c r="A255" s="462" t="s">
        <v>231</v>
      </c>
      <c r="B255" s="250" t="s">
        <v>130</v>
      </c>
      <c r="C255" s="250" t="s">
        <v>202</v>
      </c>
      <c r="D255" s="250" t="s">
        <v>212</v>
      </c>
      <c r="E255" s="250"/>
      <c r="F255" s="250"/>
      <c r="G255" s="262" t="e">
        <f>G262+G280+G299</f>
        <v>#REF!</v>
      </c>
      <c r="H255" s="261" t="e">
        <f t="shared" ref="H255:Q255" si="405">H280+H299</f>
        <v>#REF!</v>
      </c>
      <c r="I255" s="261" t="e">
        <f t="shared" si="405"/>
        <v>#REF!</v>
      </c>
      <c r="J255" s="261" t="e">
        <f t="shared" si="405"/>
        <v>#REF!</v>
      </c>
      <c r="K255" s="261" t="e">
        <f t="shared" si="405"/>
        <v>#REF!</v>
      </c>
      <c r="L255" s="261">
        <f t="shared" si="405"/>
        <v>18150</v>
      </c>
      <c r="M255" s="261">
        <f t="shared" si="405"/>
        <v>18150</v>
      </c>
      <c r="N255" s="261">
        <f t="shared" si="405"/>
        <v>359</v>
      </c>
      <c r="O255" s="261">
        <f t="shared" si="405"/>
        <v>18509</v>
      </c>
      <c r="P255" s="261">
        <f t="shared" si="405"/>
        <v>18509</v>
      </c>
      <c r="Q255" s="261">
        <f t="shared" si="405"/>
        <v>366.5</v>
      </c>
      <c r="R255" s="261">
        <f>R280</f>
        <v>18875.5</v>
      </c>
      <c r="S255" s="261">
        <f t="shared" ref="S255:T255" si="406">S280</f>
        <v>4562</v>
      </c>
      <c r="T255" s="261">
        <f t="shared" si="406"/>
        <v>23134.5</v>
      </c>
      <c r="U255" s="261">
        <f t="shared" ref="U255:V255" si="407">U280</f>
        <v>2231.6</v>
      </c>
      <c r="V255" s="261">
        <f t="shared" si="407"/>
        <v>16638.5</v>
      </c>
      <c r="W255" s="261">
        <f t="shared" ref="W255" si="408">W280</f>
        <v>11134.9</v>
      </c>
      <c r="X255" s="261">
        <f>X280+X305+X308+X310</f>
        <v>20402.63</v>
      </c>
      <c r="Y255" s="261">
        <f t="shared" ref="Y255:Z255" si="409">Y280+Y305+Y308+Y310</f>
        <v>12879.840000000002</v>
      </c>
      <c r="Z255" s="261">
        <f t="shared" si="409"/>
        <v>33282.47</v>
      </c>
    </row>
    <row r="256" spans="1:26" ht="12.75" hidden="1" customHeight="1" x14ac:dyDescent="0.2">
      <c r="A256" s="462" t="s">
        <v>329</v>
      </c>
      <c r="B256" s="250" t="s">
        <v>130</v>
      </c>
      <c r="C256" s="250" t="s">
        <v>202</v>
      </c>
      <c r="D256" s="250" t="s">
        <v>212</v>
      </c>
      <c r="E256" s="250" t="s">
        <v>330</v>
      </c>
      <c r="F256" s="250"/>
      <c r="G256" s="257"/>
      <c r="H256" s="257"/>
      <c r="I256" s="257"/>
      <c r="J256" s="257" t="e">
        <f>J257</f>
        <v>#REF!</v>
      </c>
      <c r="K256" s="257"/>
      <c r="L256" s="257" t="e">
        <f>L257</f>
        <v>#REF!</v>
      </c>
      <c r="M256" s="257">
        <f>M257</f>
        <v>0</v>
      </c>
      <c r="N256" s="257" t="e">
        <f t="shared" ref="N256:Z257" si="410">N257</f>
        <v>#REF!</v>
      </c>
      <c r="O256" s="257">
        <f t="shared" si="410"/>
        <v>0</v>
      </c>
      <c r="P256" s="257" t="e">
        <f t="shared" si="410"/>
        <v>#REF!</v>
      </c>
      <c r="Q256" s="257">
        <f t="shared" si="410"/>
        <v>0</v>
      </c>
      <c r="R256" s="257" t="e">
        <f t="shared" si="410"/>
        <v>#REF!</v>
      </c>
      <c r="S256" s="257">
        <f t="shared" si="410"/>
        <v>0</v>
      </c>
      <c r="T256" s="257" t="e">
        <f t="shared" si="410"/>
        <v>#REF!</v>
      </c>
      <c r="U256" s="257">
        <f t="shared" si="410"/>
        <v>0</v>
      </c>
      <c r="V256" s="257" t="e">
        <f t="shared" si="410"/>
        <v>#REF!</v>
      </c>
      <c r="W256" s="257">
        <f t="shared" si="410"/>
        <v>0</v>
      </c>
      <c r="X256" s="257" t="e">
        <f t="shared" si="410"/>
        <v>#REF!</v>
      </c>
      <c r="Y256" s="257">
        <f t="shared" si="410"/>
        <v>0</v>
      </c>
      <c r="Z256" s="257" t="e">
        <f t="shared" si="410"/>
        <v>#REF!</v>
      </c>
    </row>
    <row r="257" spans="1:26" ht="51" hidden="1" customHeight="1" x14ac:dyDescent="0.2">
      <c r="A257" s="259" t="s">
        <v>140</v>
      </c>
      <c r="B257" s="252" t="s">
        <v>130</v>
      </c>
      <c r="C257" s="252" t="s">
        <v>202</v>
      </c>
      <c r="D257" s="252" t="s">
        <v>212</v>
      </c>
      <c r="E257" s="252" t="s">
        <v>141</v>
      </c>
      <c r="F257" s="252"/>
      <c r="G257" s="257"/>
      <c r="H257" s="257"/>
      <c r="I257" s="257"/>
      <c r="J257" s="257" t="e">
        <f>J258</f>
        <v>#REF!</v>
      </c>
      <c r="K257" s="257"/>
      <c r="L257" s="257" t="e">
        <f>L258</f>
        <v>#REF!</v>
      </c>
      <c r="M257" s="257">
        <f>M258</f>
        <v>0</v>
      </c>
      <c r="N257" s="257" t="e">
        <f t="shared" si="410"/>
        <v>#REF!</v>
      </c>
      <c r="O257" s="257">
        <f t="shared" si="410"/>
        <v>0</v>
      </c>
      <c r="P257" s="257" t="e">
        <f t="shared" si="410"/>
        <v>#REF!</v>
      </c>
      <c r="Q257" s="257">
        <f t="shared" si="410"/>
        <v>0</v>
      </c>
      <c r="R257" s="257" t="e">
        <f t="shared" si="410"/>
        <v>#REF!</v>
      </c>
      <c r="S257" s="257">
        <f t="shared" si="410"/>
        <v>0</v>
      </c>
      <c r="T257" s="257" t="e">
        <f t="shared" si="410"/>
        <v>#REF!</v>
      </c>
      <c r="U257" s="257">
        <f t="shared" si="410"/>
        <v>0</v>
      </c>
      <c r="V257" s="257" t="e">
        <f t="shared" si="410"/>
        <v>#REF!</v>
      </c>
      <c r="W257" s="257">
        <f t="shared" si="410"/>
        <v>0</v>
      </c>
      <c r="X257" s="257" t="e">
        <f t="shared" si="410"/>
        <v>#REF!</v>
      </c>
      <c r="Y257" s="257">
        <f t="shared" si="410"/>
        <v>0</v>
      </c>
      <c r="Z257" s="257" t="e">
        <f t="shared" si="410"/>
        <v>#REF!</v>
      </c>
    </row>
    <row r="258" spans="1:26" ht="12.75" hidden="1" customHeight="1" x14ac:dyDescent="0.2">
      <c r="A258" s="259" t="s">
        <v>320</v>
      </c>
      <c r="B258" s="252" t="s">
        <v>130</v>
      </c>
      <c r="C258" s="252" t="s">
        <v>202</v>
      </c>
      <c r="D258" s="252" t="s">
        <v>212</v>
      </c>
      <c r="E258" s="252" t="s">
        <v>141</v>
      </c>
      <c r="F258" s="252" t="s">
        <v>321</v>
      </c>
      <c r="G258" s="257"/>
      <c r="H258" s="257"/>
      <c r="I258" s="257"/>
      <c r="J258" s="257" t="e">
        <f>#REF!+I258</f>
        <v>#REF!</v>
      </c>
      <c r="K258" s="257"/>
      <c r="L258" s="257" t="e">
        <f>F258+J258</f>
        <v>#REF!</v>
      </c>
      <c r="M258" s="257">
        <f>G258+K258</f>
        <v>0</v>
      </c>
      <c r="N258" s="257" t="e">
        <f t="shared" ref="N258:O258" si="411">H258+L258</f>
        <v>#REF!</v>
      </c>
      <c r="O258" s="257">
        <f t="shared" si="411"/>
        <v>0</v>
      </c>
      <c r="P258" s="257" t="e">
        <f>J258+N258</f>
        <v>#REF!</v>
      </c>
      <c r="Q258" s="257">
        <f t="shared" ref="Q258:R258" si="412">K258+O258</f>
        <v>0</v>
      </c>
      <c r="R258" s="257" t="e">
        <f t="shared" si="412"/>
        <v>#REF!</v>
      </c>
      <c r="S258" s="257">
        <f t="shared" ref="S258" si="413">M258+Q258</f>
        <v>0</v>
      </c>
      <c r="T258" s="257" t="e">
        <f t="shared" ref="T258" si="414">N258+R258</f>
        <v>#REF!</v>
      </c>
      <c r="U258" s="257">
        <f t="shared" ref="U258" si="415">O258+S258</f>
        <v>0</v>
      </c>
      <c r="V258" s="257" t="e">
        <f t="shared" ref="V258" si="416">P258+T258</f>
        <v>#REF!</v>
      </c>
      <c r="W258" s="257">
        <f t="shared" ref="W258" si="417">Q258+U258</f>
        <v>0</v>
      </c>
      <c r="X258" s="257" t="e">
        <f t="shared" ref="X258" si="418">R258+V258</f>
        <v>#REF!</v>
      </c>
      <c r="Y258" s="257">
        <f t="shared" ref="Y258" si="419">S258+W258</f>
        <v>0</v>
      </c>
      <c r="Z258" s="257" t="e">
        <f t="shared" ref="Z258" si="420">T258+X258</f>
        <v>#REF!</v>
      </c>
    </row>
    <row r="259" spans="1:26" ht="30.75" hidden="1" customHeight="1" x14ac:dyDescent="0.2">
      <c r="A259" s="259" t="s">
        <v>123</v>
      </c>
      <c r="B259" s="252" t="s">
        <v>130</v>
      </c>
      <c r="C259" s="252" t="s">
        <v>202</v>
      </c>
      <c r="D259" s="252" t="s">
        <v>212</v>
      </c>
      <c r="E259" s="260" t="s">
        <v>332</v>
      </c>
      <c r="F259" s="252"/>
      <c r="G259" s="257"/>
      <c r="H259" s="257"/>
      <c r="I259" s="257">
        <f t="shared" ref="I259:Y260" si="421">I260</f>
        <v>-2264.25</v>
      </c>
      <c r="J259" s="257">
        <f t="shared" si="421"/>
        <v>-2264.25</v>
      </c>
      <c r="K259" s="257">
        <f t="shared" si="421"/>
        <v>-2264.25</v>
      </c>
      <c r="L259" s="257">
        <f t="shared" si="421"/>
        <v>-2264.25</v>
      </c>
      <c r="M259" s="257">
        <f t="shared" si="421"/>
        <v>-4528.5</v>
      </c>
      <c r="N259" s="257">
        <f t="shared" si="421"/>
        <v>-4528.5</v>
      </c>
      <c r="O259" s="257">
        <f t="shared" si="421"/>
        <v>-6792.75</v>
      </c>
      <c r="P259" s="257">
        <f t="shared" si="421"/>
        <v>-6792.75</v>
      </c>
      <c r="Q259" s="257">
        <f t="shared" si="421"/>
        <v>-11321.25</v>
      </c>
      <c r="R259" s="257">
        <f t="shared" si="421"/>
        <v>-11321.25</v>
      </c>
      <c r="S259" s="257">
        <f t="shared" si="421"/>
        <v>-18114</v>
      </c>
      <c r="T259" s="257">
        <f t="shared" si="421"/>
        <v>-18114</v>
      </c>
      <c r="U259" s="257">
        <f t="shared" si="421"/>
        <v>-29435.25</v>
      </c>
      <c r="V259" s="257">
        <f t="shared" si="421"/>
        <v>-29435.25</v>
      </c>
      <c r="W259" s="257">
        <f t="shared" si="421"/>
        <v>-47549.25</v>
      </c>
      <c r="X259" s="257">
        <f t="shared" si="421"/>
        <v>-47549.25</v>
      </c>
      <c r="Y259" s="257">
        <f t="shared" si="421"/>
        <v>-76984.5</v>
      </c>
      <c r="Z259" s="257">
        <f t="shared" ref="Y259:Z260" si="422">Z260</f>
        <v>-76984.5</v>
      </c>
    </row>
    <row r="260" spans="1:26" hidden="1" x14ac:dyDescent="0.2">
      <c r="A260" s="259" t="s">
        <v>333</v>
      </c>
      <c r="B260" s="252" t="s">
        <v>130</v>
      </c>
      <c r="C260" s="252" t="s">
        <v>202</v>
      </c>
      <c r="D260" s="252" t="s">
        <v>212</v>
      </c>
      <c r="E260" s="260" t="s">
        <v>334</v>
      </c>
      <c r="F260" s="252"/>
      <c r="G260" s="257"/>
      <c r="H260" s="257"/>
      <c r="I260" s="257">
        <f t="shared" si="421"/>
        <v>-2264.25</v>
      </c>
      <c r="J260" s="257">
        <f t="shared" si="421"/>
        <v>-2264.25</v>
      </c>
      <c r="K260" s="257">
        <f t="shared" si="421"/>
        <v>-2264.25</v>
      </c>
      <c r="L260" s="257">
        <f t="shared" si="421"/>
        <v>-2264.25</v>
      </c>
      <c r="M260" s="257">
        <f t="shared" si="421"/>
        <v>-4528.5</v>
      </c>
      <c r="N260" s="257">
        <f t="shared" si="421"/>
        <v>-4528.5</v>
      </c>
      <c r="O260" s="257">
        <f t="shared" si="421"/>
        <v>-6792.75</v>
      </c>
      <c r="P260" s="257">
        <f t="shared" si="421"/>
        <v>-6792.75</v>
      </c>
      <c r="Q260" s="257">
        <f t="shared" si="421"/>
        <v>-11321.25</v>
      </c>
      <c r="R260" s="257">
        <f t="shared" si="421"/>
        <v>-11321.25</v>
      </c>
      <c r="S260" s="257">
        <f t="shared" si="421"/>
        <v>-18114</v>
      </c>
      <c r="T260" s="257">
        <f t="shared" si="421"/>
        <v>-18114</v>
      </c>
      <c r="U260" s="257">
        <f t="shared" si="421"/>
        <v>-29435.25</v>
      </c>
      <c r="V260" s="257">
        <f t="shared" si="421"/>
        <v>-29435.25</v>
      </c>
      <c r="W260" s="257">
        <f t="shared" si="421"/>
        <v>-47549.25</v>
      </c>
      <c r="X260" s="257">
        <f t="shared" si="421"/>
        <v>-47549.25</v>
      </c>
      <c r="Y260" s="257">
        <f t="shared" si="422"/>
        <v>-76984.5</v>
      </c>
      <c r="Z260" s="257">
        <f t="shared" si="422"/>
        <v>-76984.5</v>
      </c>
    </row>
    <row r="261" spans="1:26" hidden="1" x14ac:dyDescent="0.2">
      <c r="A261" s="259" t="s">
        <v>95</v>
      </c>
      <c r="B261" s="252" t="s">
        <v>130</v>
      </c>
      <c r="C261" s="252" t="s">
        <v>202</v>
      </c>
      <c r="D261" s="252" t="s">
        <v>212</v>
      </c>
      <c r="E261" s="260" t="s">
        <v>334</v>
      </c>
      <c r="F261" s="252" t="s">
        <v>96</v>
      </c>
      <c r="G261" s="257"/>
      <c r="H261" s="257"/>
      <c r="I261" s="257">
        <v>-2264.25</v>
      </c>
      <c r="J261" s="257">
        <f>G261+I261</f>
        <v>-2264.25</v>
      </c>
      <c r="K261" s="257">
        <v>-2264.25</v>
      </c>
      <c r="L261" s="257">
        <f>H261+J261</f>
        <v>-2264.25</v>
      </c>
      <c r="M261" s="257">
        <f>I261+K261</f>
        <v>-4528.5</v>
      </c>
      <c r="N261" s="257">
        <f t="shared" ref="N261:O261" si="423">J261+L261</f>
        <v>-4528.5</v>
      </c>
      <c r="O261" s="257">
        <f t="shared" si="423"/>
        <v>-6792.75</v>
      </c>
      <c r="P261" s="257">
        <f>L261+N261</f>
        <v>-6792.75</v>
      </c>
      <c r="Q261" s="257">
        <f t="shared" ref="Q261:R261" si="424">M261+O261</f>
        <v>-11321.25</v>
      </c>
      <c r="R261" s="257">
        <f t="shared" si="424"/>
        <v>-11321.25</v>
      </c>
      <c r="S261" s="257">
        <f t="shared" ref="S261" si="425">O261+Q261</f>
        <v>-18114</v>
      </c>
      <c r="T261" s="257">
        <f t="shared" ref="T261" si="426">P261+R261</f>
        <v>-18114</v>
      </c>
      <c r="U261" s="257">
        <f t="shared" ref="U261" si="427">Q261+S261</f>
        <v>-29435.25</v>
      </c>
      <c r="V261" s="257">
        <f t="shared" ref="V261" si="428">R261+T261</f>
        <v>-29435.25</v>
      </c>
      <c r="W261" s="257">
        <f t="shared" ref="W261" si="429">S261+U261</f>
        <v>-47549.25</v>
      </c>
      <c r="X261" s="257">
        <f t="shared" ref="X261" si="430">T261+V261</f>
        <v>-47549.25</v>
      </c>
      <c r="Y261" s="257">
        <f t="shared" ref="Y261" si="431">U261+W261</f>
        <v>-76984.5</v>
      </c>
      <c r="Z261" s="257">
        <f t="shared" ref="Z261" si="432">V261+X261</f>
        <v>-76984.5</v>
      </c>
    </row>
    <row r="262" spans="1:26" ht="27" hidden="1" customHeight="1" x14ac:dyDescent="0.2">
      <c r="A262" s="259" t="s">
        <v>988</v>
      </c>
      <c r="B262" s="252" t="s">
        <v>130</v>
      </c>
      <c r="C262" s="252" t="s">
        <v>202</v>
      </c>
      <c r="D262" s="252" t="s">
        <v>212</v>
      </c>
      <c r="E262" s="260" t="s">
        <v>455</v>
      </c>
      <c r="F262" s="252"/>
      <c r="G262" s="257"/>
      <c r="H262" s="257"/>
      <c r="I262" s="257">
        <f>I263+I265</f>
        <v>-12509.01</v>
      </c>
      <c r="J262" s="257" t="e">
        <f>J263+J265</f>
        <v>#REF!</v>
      </c>
      <c r="K262" s="257">
        <f>K263+K265</f>
        <v>-12509.01</v>
      </c>
      <c r="L262" s="257" t="e">
        <f>L263+L265</f>
        <v>#REF!</v>
      </c>
      <c r="M262" s="257" t="e">
        <f>M263+M265</f>
        <v>#REF!</v>
      </c>
      <c r="N262" s="257" t="e">
        <f t="shared" ref="N262:R262" si="433">N263+N265</f>
        <v>#REF!</v>
      </c>
      <c r="O262" s="257" t="e">
        <f t="shared" si="433"/>
        <v>#REF!</v>
      </c>
      <c r="P262" s="257" t="e">
        <f t="shared" si="433"/>
        <v>#REF!</v>
      </c>
      <c r="Q262" s="257" t="e">
        <f t="shared" si="433"/>
        <v>#REF!</v>
      </c>
      <c r="R262" s="257" t="e">
        <f t="shared" si="433"/>
        <v>#REF!</v>
      </c>
      <c r="S262" s="257" t="e">
        <f t="shared" ref="S262:T262" si="434">S263+S265</f>
        <v>#REF!</v>
      </c>
      <c r="T262" s="257" t="e">
        <f t="shared" si="434"/>
        <v>#REF!</v>
      </c>
      <c r="U262" s="257" t="e">
        <f t="shared" ref="U262:V262" si="435">U263+U265</f>
        <v>#REF!</v>
      </c>
      <c r="V262" s="257" t="e">
        <f t="shared" si="435"/>
        <v>#REF!</v>
      </c>
      <c r="W262" s="257" t="e">
        <f t="shared" ref="W262:X262" si="436">W263+W265</f>
        <v>#REF!</v>
      </c>
      <c r="X262" s="257" t="e">
        <f t="shared" si="436"/>
        <v>#REF!</v>
      </c>
      <c r="Y262" s="257" t="e">
        <f t="shared" ref="Y262:Z262" si="437">Y263+Y265</f>
        <v>#REF!</v>
      </c>
      <c r="Z262" s="257" t="e">
        <f t="shared" si="437"/>
        <v>#REF!</v>
      </c>
    </row>
    <row r="263" spans="1:26" ht="27" hidden="1" customHeight="1" x14ac:dyDescent="0.2">
      <c r="A263" s="259" t="s">
        <v>977</v>
      </c>
      <c r="B263" s="252" t="s">
        <v>130</v>
      </c>
      <c r="C263" s="252" t="s">
        <v>202</v>
      </c>
      <c r="D263" s="252" t="s">
        <v>212</v>
      </c>
      <c r="E263" s="260" t="s">
        <v>456</v>
      </c>
      <c r="F263" s="252"/>
      <c r="G263" s="257"/>
      <c r="H263" s="257"/>
      <c r="I263" s="257">
        <f>I264</f>
        <v>-2241.17</v>
      </c>
      <c r="J263" s="257" t="e">
        <f>J264</f>
        <v>#REF!</v>
      </c>
      <c r="K263" s="257">
        <f>K264</f>
        <v>-2241.17</v>
      </c>
      <c r="L263" s="257" t="e">
        <f>L264</f>
        <v>#REF!</v>
      </c>
      <c r="M263" s="257" t="e">
        <f>M264</f>
        <v>#REF!</v>
      </c>
      <c r="N263" s="257" t="e">
        <f t="shared" ref="N263:Z263" si="438">N264</f>
        <v>#REF!</v>
      </c>
      <c r="O263" s="257" t="e">
        <f t="shared" si="438"/>
        <v>#REF!</v>
      </c>
      <c r="P263" s="257" t="e">
        <f t="shared" si="438"/>
        <v>#REF!</v>
      </c>
      <c r="Q263" s="257" t="e">
        <f t="shared" si="438"/>
        <v>#REF!</v>
      </c>
      <c r="R263" s="257" t="e">
        <f t="shared" si="438"/>
        <v>#REF!</v>
      </c>
      <c r="S263" s="257" t="e">
        <f t="shared" si="438"/>
        <v>#REF!</v>
      </c>
      <c r="T263" s="257" t="e">
        <f t="shared" si="438"/>
        <v>#REF!</v>
      </c>
      <c r="U263" s="257" t="e">
        <f t="shared" si="438"/>
        <v>#REF!</v>
      </c>
      <c r="V263" s="257" t="e">
        <f t="shared" si="438"/>
        <v>#REF!</v>
      </c>
      <c r="W263" s="257" t="e">
        <f t="shared" si="438"/>
        <v>#REF!</v>
      </c>
      <c r="X263" s="257" t="e">
        <f t="shared" si="438"/>
        <v>#REF!</v>
      </c>
      <c r="Y263" s="257" t="e">
        <f t="shared" si="438"/>
        <v>#REF!</v>
      </c>
      <c r="Z263" s="257" t="e">
        <f t="shared" si="438"/>
        <v>#REF!</v>
      </c>
    </row>
    <row r="264" spans="1:26" ht="21" hidden="1" customHeight="1" x14ac:dyDescent="0.2">
      <c r="A264" s="259" t="s">
        <v>95</v>
      </c>
      <c r="B264" s="252" t="s">
        <v>130</v>
      </c>
      <c r="C264" s="252" t="s">
        <v>202</v>
      </c>
      <c r="D264" s="252" t="s">
        <v>212</v>
      </c>
      <c r="E264" s="260" t="s">
        <v>456</v>
      </c>
      <c r="F264" s="252" t="s">
        <v>96</v>
      </c>
      <c r="G264" s="257"/>
      <c r="H264" s="257"/>
      <c r="I264" s="257">
        <v>-2241.17</v>
      </c>
      <c r="J264" s="257" t="e">
        <f>#REF!+I264</f>
        <v>#REF!</v>
      </c>
      <c r="K264" s="257">
        <v>-2241.17</v>
      </c>
      <c r="L264" s="257" t="e">
        <f>#REF!+J264</f>
        <v>#REF!</v>
      </c>
      <c r="M264" s="257" t="e">
        <f>#REF!+K264</f>
        <v>#REF!</v>
      </c>
      <c r="N264" s="257" t="e">
        <f>#REF!+L264</f>
        <v>#REF!</v>
      </c>
      <c r="O264" s="257" t="e">
        <f>#REF!+M264</f>
        <v>#REF!</v>
      </c>
      <c r="P264" s="257" t="e">
        <f>#REF!+N264</f>
        <v>#REF!</v>
      </c>
      <c r="Q264" s="257" t="e">
        <f>#REF!+O264</f>
        <v>#REF!</v>
      </c>
      <c r="R264" s="257" t="e">
        <f>#REF!+P264</f>
        <v>#REF!</v>
      </c>
      <c r="S264" s="257" t="e">
        <f>#REF!+Q264</f>
        <v>#REF!</v>
      </c>
      <c r="T264" s="257" t="e">
        <f>#REF!+R264</f>
        <v>#REF!</v>
      </c>
      <c r="U264" s="257" t="e">
        <f>#REF!+S264</f>
        <v>#REF!</v>
      </c>
      <c r="V264" s="257" t="e">
        <f>#REF!+T264</f>
        <v>#REF!</v>
      </c>
      <c r="W264" s="257" t="e">
        <f>#REF!+U264</f>
        <v>#REF!</v>
      </c>
      <c r="X264" s="257" t="e">
        <f>#REF!+V264</f>
        <v>#REF!</v>
      </c>
      <c r="Y264" s="257" t="e">
        <f>#REF!+W264</f>
        <v>#REF!</v>
      </c>
      <c r="Z264" s="257" t="e">
        <f>#REF!+X264</f>
        <v>#REF!</v>
      </c>
    </row>
    <row r="265" spans="1:26" ht="27" hidden="1" customHeight="1" x14ac:dyDescent="0.2">
      <c r="A265" s="259" t="s">
        <v>989</v>
      </c>
      <c r="B265" s="252" t="s">
        <v>130</v>
      </c>
      <c r="C265" s="252" t="s">
        <v>202</v>
      </c>
      <c r="D265" s="252" t="s">
        <v>212</v>
      </c>
      <c r="E265" s="260" t="s">
        <v>483</v>
      </c>
      <c r="F265" s="252"/>
      <c r="G265" s="257"/>
      <c r="H265" s="257"/>
      <c r="I265" s="257">
        <f>I266+I267+I268+I269+I270+I271</f>
        <v>-10267.84</v>
      </c>
      <c r="J265" s="257" t="e">
        <f>J266+J267+J268+J269+J270+J271</f>
        <v>#REF!</v>
      </c>
      <c r="K265" s="257">
        <f>K266+K267+K268+K269+K270+K271</f>
        <v>-10267.84</v>
      </c>
      <c r="L265" s="257" t="e">
        <f>L266+L267+L268+L269+L270+L271</f>
        <v>#REF!</v>
      </c>
      <c r="M265" s="257" t="e">
        <f>M266+M267+M268+M269+M270+M271</f>
        <v>#REF!</v>
      </c>
      <c r="N265" s="257" t="e">
        <f t="shared" ref="N265:R265" si="439">N266+N267+N268+N269+N270+N271</f>
        <v>#REF!</v>
      </c>
      <c r="O265" s="257" t="e">
        <f t="shared" si="439"/>
        <v>#REF!</v>
      </c>
      <c r="P265" s="257" t="e">
        <f t="shared" si="439"/>
        <v>#REF!</v>
      </c>
      <c r="Q265" s="257" t="e">
        <f t="shared" si="439"/>
        <v>#REF!</v>
      </c>
      <c r="R265" s="257" t="e">
        <f t="shared" si="439"/>
        <v>#REF!</v>
      </c>
      <c r="S265" s="257" t="e">
        <f t="shared" ref="S265:T265" si="440">S266+S267+S268+S269+S270+S271</f>
        <v>#REF!</v>
      </c>
      <c r="T265" s="257" t="e">
        <f t="shared" si="440"/>
        <v>#REF!</v>
      </c>
      <c r="U265" s="257" t="e">
        <f t="shared" ref="U265:V265" si="441">U266+U267+U268+U269+U270+U271</f>
        <v>#REF!</v>
      </c>
      <c r="V265" s="257" t="e">
        <f t="shared" si="441"/>
        <v>#REF!</v>
      </c>
      <c r="W265" s="257" t="e">
        <f t="shared" ref="W265:X265" si="442">W266+W267+W268+W269+W270+W271</f>
        <v>#REF!</v>
      </c>
      <c r="X265" s="257" t="e">
        <f t="shared" si="442"/>
        <v>#REF!</v>
      </c>
      <c r="Y265" s="257" t="e">
        <f t="shared" ref="Y265:Z265" si="443">Y266+Y267+Y268+Y269+Y270+Y271</f>
        <v>#REF!</v>
      </c>
      <c r="Z265" s="257" t="e">
        <f t="shared" si="443"/>
        <v>#REF!</v>
      </c>
    </row>
    <row r="266" spans="1:26" ht="15.75" hidden="1" customHeight="1" x14ac:dyDescent="0.2">
      <c r="A266" s="259" t="s">
        <v>95</v>
      </c>
      <c r="B266" s="252" t="s">
        <v>130</v>
      </c>
      <c r="C266" s="252" t="s">
        <v>202</v>
      </c>
      <c r="D266" s="252" t="s">
        <v>212</v>
      </c>
      <c r="E266" s="260" t="s">
        <v>483</v>
      </c>
      <c r="F266" s="252" t="s">
        <v>96</v>
      </c>
      <c r="G266" s="257"/>
      <c r="H266" s="257"/>
      <c r="I266" s="257">
        <v>-7598.11</v>
      </c>
      <c r="J266" s="257" t="e">
        <f>#REF!+I266</f>
        <v>#REF!</v>
      </c>
      <c r="K266" s="257">
        <v>-7598.11</v>
      </c>
      <c r="L266" s="257" t="e">
        <f>#REF!+J266</f>
        <v>#REF!</v>
      </c>
      <c r="M266" s="257" t="e">
        <f>#REF!+K266</f>
        <v>#REF!</v>
      </c>
      <c r="N266" s="257" t="e">
        <f>#REF!+L266</f>
        <v>#REF!</v>
      </c>
      <c r="O266" s="257" t="e">
        <f>#REF!+M266</f>
        <v>#REF!</v>
      </c>
      <c r="P266" s="257" t="e">
        <f>#REF!+N266</f>
        <v>#REF!</v>
      </c>
      <c r="Q266" s="257" t="e">
        <f>#REF!+O266</f>
        <v>#REF!</v>
      </c>
      <c r="R266" s="257" t="e">
        <f>#REF!+P266</f>
        <v>#REF!</v>
      </c>
      <c r="S266" s="257" t="e">
        <f>#REF!+Q266</f>
        <v>#REF!</v>
      </c>
      <c r="T266" s="257" t="e">
        <f>#REF!+R266</f>
        <v>#REF!</v>
      </c>
      <c r="U266" s="257" t="e">
        <f>#REF!+S266</f>
        <v>#REF!</v>
      </c>
      <c r="V266" s="257" t="e">
        <f>#REF!+T266</f>
        <v>#REF!</v>
      </c>
      <c r="W266" s="257" t="e">
        <f>#REF!+U266</f>
        <v>#REF!</v>
      </c>
      <c r="X266" s="257" t="e">
        <f>#REF!+V266</f>
        <v>#REF!</v>
      </c>
      <c r="Y266" s="257" t="e">
        <f>#REF!+W266</f>
        <v>#REF!</v>
      </c>
      <c r="Z266" s="257" t="e">
        <f>#REF!+X266</f>
        <v>#REF!</v>
      </c>
    </row>
    <row r="267" spans="1:26" ht="12.75" hidden="1" customHeight="1" x14ac:dyDescent="0.2">
      <c r="A267" s="259" t="s">
        <v>97</v>
      </c>
      <c r="B267" s="252" t="s">
        <v>130</v>
      </c>
      <c r="C267" s="252" t="s">
        <v>202</v>
      </c>
      <c r="D267" s="252" t="s">
        <v>212</v>
      </c>
      <c r="E267" s="260" t="s">
        <v>483</v>
      </c>
      <c r="F267" s="252" t="s">
        <v>98</v>
      </c>
      <c r="G267" s="257"/>
      <c r="H267" s="257"/>
      <c r="I267" s="257">
        <v>-511.2</v>
      </c>
      <c r="J267" s="257" t="e">
        <f>#REF!+I267</f>
        <v>#REF!</v>
      </c>
      <c r="K267" s="257">
        <v>-511.2</v>
      </c>
      <c r="L267" s="257" t="e">
        <f>#REF!+J267</f>
        <v>#REF!</v>
      </c>
      <c r="M267" s="257" t="e">
        <f>#REF!+K267</f>
        <v>#REF!</v>
      </c>
      <c r="N267" s="257" t="e">
        <f>#REF!+L267</f>
        <v>#REF!</v>
      </c>
      <c r="O267" s="257" t="e">
        <f>#REF!+M267</f>
        <v>#REF!</v>
      </c>
      <c r="P267" s="257" t="e">
        <f>#REF!+N267</f>
        <v>#REF!</v>
      </c>
      <c r="Q267" s="257" t="e">
        <f>#REF!+O267</f>
        <v>#REF!</v>
      </c>
      <c r="R267" s="257" t="e">
        <f>#REF!+P267</f>
        <v>#REF!</v>
      </c>
      <c r="S267" s="257" t="e">
        <f>#REF!+Q267</f>
        <v>#REF!</v>
      </c>
      <c r="T267" s="257" t="e">
        <f>#REF!+R267</f>
        <v>#REF!</v>
      </c>
      <c r="U267" s="257" t="e">
        <f>#REF!+S267</f>
        <v>#REF!</v>
      </c>
      <c r="V267" s="257" t="e">
        <f>#REF!+T267</f>
        <v>#REF!</v>
      </c>
      <c r="W267" s="257" t="e">
        <f>#REF!+U267</f>
        <v>#REF!</v>
      </c>
      <c r="X267" s="257" t="e">
        <f>#REF!+V267</f>
        <v>#REF!</v>
      </c>
      <c r="Y267" s="257" t="e">
        <f>#REF!+W267</f>
        <v>#REF!</v>
      </c>
      <c r="Z267" s="257" t="e">
        <f>#REF!+X267</f>
        <v>#REF!</v>
      </c>
    </row>
    <row r="268" spans="1:26" ht="12.75" hidden="1" customHeight="1" x14ac:dyDescent="0.2">
      <c r="A268" s="259" t="s">
        <v>99</v>
      </c>
      <c r="B268" s="252" t="s">
        <v>130</v>
      </c>
      <c r="C268" s="252" t="s">
        <v>202</v>
      </c>
      <c r="D268" s="252" t="s">
        <v>212</v>
      </c>
      <c r="E268" s="260" t="s">
        <v>483</v>
      </c>
      <c r="F268" s="252" t="s">
        <v>100</v>
      </c>
      <c r="G268" s="257"/>
      <c r="H268" s="257"/>
      <c r="I268" s="257">
        <v>-200</v>
      </c>
      <c r="J268" s="257" t="e">
        <f>#REF!+I268</f>
        <v>#REF!</v>
      </c>
      <c r="K268" s="257">
        <v>-200</v>
      </c>
      <c r="L268" s="257" t="e">
        <f>#REF!+J268</f>
        <v>#REF!</v>
      </c>
      <c r="M268" s="257" t="e">
        <f>#REF!+K268</f>
        <v>#REF!</v>
      </c>
      <c r="N268" s="257" t="e">
        <f>#REF!+L268</f>
        <v>#REF!</v>
      </c>
      <c r="O268" s="257" t="e">
        <f>#REF!+M268</f>
        <v>#REF!</v>
      </c>
      <c r="P268" s="257" t="e">
        <f>#REF!+N268</f>
        <v>#REF!</v>
      </c>
      <c r="Q268" s="257" t="e">
        <f>#REF!+O268</f>
        <v>#REF!</v>
      </c>
      <c r="R268" s="257" t="e">
        <f>#REF!+P268</f>
        <v>#REF!</v>
      </c>
      <c r="S268" s="257" t="e">
        <f>#REF!+Q268</f>
        <v>#REF!</v>
      </c>
      <c r="T268" s="257" t="e">
        <f>#REF!+R268</f>
        <v>#REF!</v>
      </c>
      <c r="U268" s="257" t="e">
        <f>#REF!+S268</f>
        <v>#REF!</v>
      </c>
      <c r="V268" s="257" t="e">
        <f>#REF!+T268</f>
        <v>#REF!</v>
      </c>
      <c r="W268" s="257" t="e">
        <f>#REF!+U268</f>
        <v>#REF!</v>
      </c>
      <c r="X268" s="257" t="e">
        <f>#REF!+V268</f>
        <v>#REF!</v>
      </c>
      <c r="Y268" s="257" t="e">
        <f>#REF!+W268</f>
        <v>#REF!</v>
      </c>
      <c r="Z268" s="257" t="e">
        <f>#REF!+X268</f>
        <v>#REF!</v>
      </c>
    </row>
    <row r="269" spans="1:26" ht="12.75" hidden="1" customHeight="1" x14ac:dyDescent="0.2">
      <c r="A269" s="259" t="s">
        <v>93</v>
      </c>
      <c r="B269" s="252" t="s">
        <v>130</v>
      </c>
      <c r="C269" s="252" t="s">
        <v>202</v>
      </c>
      <c r="D269" s="252" t="s">
        <v>212</v>
      </c>
      <c r="E269" s="260" t="s">
        <v>483</v>
      </c>
      <c r="F269" s="252" t="s">
        <v>94</v>
      </c>
      <c r="G269" s="257"/>
      <c r="H269" s="257"/>
      <c r="I269" s="257">
        <v>-1788.53</v>
      </c>
      <c r="J269" s="257" t="e">
        <f>#REF!+I269</f>
        <v>#REF!</v>
      </c>
      <c r="K269" s="257">
        <v>-1788.53</v>
      </c>
      <c r="L269" s="257" t="e">
        <f>#REF!+J269</f>
        <v>#REF!</v>
      </c>
      <c r="M269" s="257" t="e">
        <f>#REF!+K269</f>
        <v>#REF!</v>
      </c>
      <c r="N269" s="257" t="e">
        <f>#REF!+L269</f>
        <v>#REF!</v>
      </c>
      <c r="O269" s="257" t="e">
        <f>#REF!+M269</f>
        <v>#REF!</v>
      </c>
      <c r="P269" s="257" t="e">
        <f>#REF!+N269</f>
        <v>#REF!</v>
      </c>
      <c r="Q269" s="257" t="e">
        <f>#REF!+O269</f>
        <v>#REF!</v>
      </c>
      <c r="R269" s="257" t="e">
        <f>#REF!+P269</f>
        <v>#REF!</v>
      </c>
      <c r="S269" s="257" t="e">
        <f>#REF!+Q269</f>
        <v>#REF!</v>
      </c>
      <c r="T269" s="257" t="e">
        <f>#REF!+R269</f>
        <v>#REF!</v>
      </c>
      <c r="U269" s="257" t="e">
        <f>#REF!+S269</f>
        <v>#REF!</v>
      </c>
      <c r="V269" s="257" t="e">
        <f>#REF!+T269</f>
        <v>#REF!</v>
      </c>
      <c r="W269" s="257" t="e">
        <f>#REF!+U269</f>
        <v>#REF!</v>
      </c>
      <c r="X269" s="257" t="e">
        <f>#REF!+V269</f>
        <v>#REF!</v>
      </c>
      <c r="Y269" s="257" t="e">
        <f>#REF!+W269</f>
        <v>#REF!</v>
      </c>
      <c r="Z269" s="257" t="e">
        <f>#REF!+X269</f>
        <v>#REF!</v>
      </c>
    </row>
    <row r="270" spans="1:26" ht="12.75" hidden="1" customHeight="1" x14ac:dyDescent="0.2">
      <c r="A270" s="259" t="s">
        <v>103</v>
      </c>
      <c r="B270" s="252" t="s">
        <v>130</v>
      </c>
      <c r="C270" s="252" t="s">
        <v>202</v>
      </c>
      <c r="D270" s="252" t="s">
        <v>212</v>
      </c>
      <c r="E270" s="260" t="s">
        <v>483</v>
      </c>
      <c r="F270" s="252" t="s">
        <v>104</v>
      </c>
      <c r="G270" s="257"/>
      <c r="H270" s="257"/>
      <c r="I270" s="257">
        <v>-31</v>
      </c>
      <c r="J270" s="257" t="e">
        <f>#REF!+I270</f>
        <v>#REF!</v>
      </c>
      <c r="K270" s="257">
        <v>-31</v>
      </c>
      <c r="L270" s="257" t="e">
        <f>#REF!+J270</f>
        <v>#REF!</v>
      </c>
      <c r="M270" s="257" t="e">
        <f>#REF!+K270</f>
        <v>#REF!</v>
      </c>
      <c r="N270" s="257" t="e">
        <f>#REF!+L270</f>
        <v>#REF!</v>
      </c>
      <c r="O270" s="257" t="e">
        <f>#REF!+M270</f>
        <v>#REF!</v>
      </c>
      <c r="P270" s="257" t="e">
        <f>#REF!+N270</f>
        <v>#REF!</v>
      </c>
      <c r="Q270" s="257" t="e">
        <f>#REF!+O270</f>
        <v>#REF!</v>
      </c>
      <c r="R270" s="257" t="e">
        <f>#REF!+P270</f>
        <v>#REF!</v>
      </c>
      <c r="S270" s="257" t="e">
        <f>#REF!+Q270</f>
        <v>#REF!</v>
      </c>
      <c r="T270" s="257" t="e">
        <f>#REF!+R270</f>
        <v>#REF!</v>
      </c>
      <c r="U270" s="257" t="e">
        <f>#REF!+S270</f>
        <v>#REF!</v>
      </c>
      <c r="V270" s="257" t="e">
        <f>#REF!+T270</f>
        <v>#REF!</v>
      </c>
      <c r="W270" s="257" t="e">
        <f>#REF!+U270</f>
        <v>#REF!</v>
      </c>
      <c r="X270" s="257" t="e">
        <f>#REF!+V270</f>
        <v>#REF!</v>
      </c>
      <c r="Y270" s="257" t="e">
        <f>#REF!+W270</f>
        <v>#REF!</v>
      </c>
      <c r="Z270" s="257" t="e">
        <f>#REF!+X270</f>
        <v>#REF!</v>
      </c>
    </row>
    <row r="271" spans="1:26" ht="15" hidden="1" customHeight="1" x14ac:dyDescent="0.2">
      <c r="A271" s="259" t="s">
        <v>400</v>
      </c>
      <c r="B271" s="252" t="s">
        <v>130</v>
      </c>
      <c r="C271" s="252" t="s">
        <v>202</v>
      </c>
      <c r="D271" s="252" t="s">
        <v>212</v>
      </c>
      <c r="E271" s="260" t="s">
        <v>483</v>
      </c>
      <c r="F271" s="252" t="s">
        <v>106</v>
      </c>
      <c r="G271" s="257"/>
      <c r="H271" s="257"/>
      <c r="I271" s="257">
        <v>-139</v>
      </c>
      <c r="J271" s="257" t="e">
        <f>#REF!+I271</f>
        <v>#REF!</v>
      </c>
      <c r="K271" s="257">
        <v>-139</v>
      </c>
      <c r="L271" s="257" t="e">
        <f>#REF!+J271</f>
        <v>#REF!</v>
      </c>
      <c r="M271" s="257" t="e">
        <f>#REF!+K271</f>
        <v>#REF!</v>
      </c>
      <c r="N271" s="257" t="e">
        <f>#REF!+L271</f>
        <v>#REF!</v>
      </c>
      <c r="O271" s="257" t="e">
        <f>#REF!+M271</f>
        <v>#REF!</v>
      </c>
      <c r="P271" s="257" t="e">
        <f>#REF!+N271</f>
        <v>#REF!</v>
      </c>
      <c r="Q271" s="257" t="e">
        <f>#REF!+O271</f>
        <v>#REF!</v>
      </c>
      <c r="R271" s="257" t="e">
        <f>#REF!+P271</f>
        <v>#REF!</v>
      </c>
      <c r="S271" s="257" t="e">
        <f>#REF!+Q271</f>
        <v>#REF!</v>
      </c>
      <c r="T271" s="257" t="e">
        <f>#REF!+R271</f>
        <v>#REF!</v>
      </c>
      <c r="U271" s="257" t="e">
        <f>#REF!+S271</f>
        <v>#REF!</v>
      </c>
      <c r="V271" s="257" t="e">
        <f>#REF!+T271</f>
        <v>#REF!</v>
      </c>
      <c r="W271" s="257" t="e">
        <f>#REF!+U271</f>
        <v>#REF!</v>
      </c>
      <c r="X271" s="257" t="e">
        <f>#REF!+V271</f>
        <v>#REF!</v>
      </c>
      <c r="Y271" s="257" t="e">
        <f>#REF!+W271</f>
        <v>#REF!</v>
      </c>
      <c r="Z271" s="257" t="e">
        <f>#REF!+X271</f>
        <v>#REF!</v>
      </c>
    </row>
    <row r="272" spans="1:26" ht="12.75" hidden="1" customHeight="1" x14ac:dyDescent="0.2">
      <c r="A272" s="259" t="s">
        <v>404</v>
      </c>
      <c r="B272" s="252" t="s">
        <v>130</v>
      </c>
      <c r="C272" s="252" t="s">
        <v>202</v>
      </c>
      <c r="D272" s="252" t="s">
        <v>212</v>
      </c>
      <c r="E272" s="252" t="s">
        <v>62</v>
      </c>
      <c r="F272" s="252"/>
      <c r="G272" s="257"/>
      <c r="H272" s="257"/>
      <c r="I272" s="257">
        <f>I273</f>
        <v>-9411.64</v>
      </c>
      <c r="J272" s="257">
        <f>J273</f>
        <v>-9411.64</v>
      </c>
      <c r="K272" s="257">
        <f>K273</f>
        <v>-9411.64</v>
      </c>
      <c r="L272" s="257">
        <f>L273</f>
        <v>-9411.64</v>
      </c>
      <c r="M272" s="257">
        <f>M273</f>
        <v>-18823.28</v>
      </c>
      <c r="N272" s="257">
        <f t="shared" ref="N272:Z272" si="444">N273</f>
        <v>-18823.28</v>
      </c>
      <c r="O272" s="257">
        <f t="shared" si="444"/>
        <v>-28234.920000000002</v>
      </c>
      <c r="P272" s="257">
        <f t="shared" si="444"/>
        <v>-28234.920000000002</v>
      </c>
      <c r="Q272" s="257">
        <f t="shared" si="444"/>
        <v>-47058.2</v>
      </c>
      <c r="R272" s="257">
        <f t="shared" si="444"/>
        <v>-47058.2</v>
      </c>
      <c r="S272" s="257">
        <f t="shared" si="444"/>
        <v>-75293.119999999995</v>
      </c>
      <c r="T272" s="257">
        <f t="shared" si="444"/>
        <v>-75293.119999999995</v>
      </c>
      <c r="U272" s="257">
        <f t="shared" si="444"/>
        <v>-122351.31999999999</v>
      </c>
      <c r="V272" s="257">
        <f t="shared" si="444"/>
        <v>-122351.31999999999</v>
      </c>
      <c r="W272" s="257">
        <f t="shared" si="444"/>
        <v>-197644.43999999997</v>
      </c>
      <c r="X272" s="257">
        <f t="shared" si="444"/>
        <v>-197644.43999999997</v>
      </c>
      <c r="Y272" s="257">
        <f t="shared" si="444"/>
        <v>-319995.76</v>
      </c>
      <c r="Z272" s="257">
        <f t="shared" si="444"/>
        <v>-319995.76</v>
      </c>
    </row>
    <row r="273" spans="1:26" ht="27" hidden="1" customHeight="1" x14ac:dyDescent="0.2">
      <c r="A273" s="259" t="s">
        <v>422</v>
      </c>
      <c r="B273" s="252" t="s">
        <v>130</v>
      </c>
      <c r="C273" s="252" t="s">
        <v>202</v>
      </c>
      <c r="D273" s="252" t="s">
        <v>212</v>
      </c>
      <c r="E273" s="252" t="s">
        <v>431</v>
      </c>
      <c r="F273" s="252"/>
      <c r="G273" s="257"/>
      <c r="H273" s="257"/>
      <c r="I273" s="257">
        <f>I274+I275+I276+I277+I278+I279</f>
        <v>-9411.64</v>
      </c>
      <c r="J273" s="257">
        <f>J274+J275+J276+J277+J278+J279</f>
        <v>-9411.64</v>
      </c>
      <c r="K273" s="257">
        <f>K274+K275+K276+K277+K278+K279</f>
        <v>-9411.64</v>
      </c>
      <c r="L273" s="257">
        <f>L274+L275+L276+L277+L278+L279</f>
        <v>-9411.64</v>
      </c>
      <c r="M273" s="257">
        <f>M274+M275+M276+M277+M278+M279</f>
        <v>-18823.28</v>
      </c>
      <c r="N273" s="257">
        <f t="shared" ref="N273:R273" si="445">N274+N275+N276+N277+N278+N279</f>
        <v>-18823.28</v>
      </c>
      <c r="O273" s="257">
        <f t="shared" si="445"/>
        <v>-28234.920000000002</v>
      </c>
      <c r="P273" s="257">
        <f t="shared" si="445"/>
        <v>-28234.920000000002</v>
      </c>
      <c r="Q273" s="257">
        <f t="shared" si="445"/>
        <v>-47058.2</v>
      </c>
      <c r="R273" s="257">
        <f t="shared" si="445"/>
        <v>-47058.2</v>
      </c>
      <c r="S273" s="257">
        <f t="shared" ref="S273:T273" si="446">S274+S275+S276+S277+S278+S279</f>
        <v>-75293.119999999995</v>
      </c>
      <c r="T273" s="257">
        <f t="shared" si="446"/>
        <v>-75293.119999999995</v>
      </c>
      <c r="U273" s="257">
        <f t="shared" ref="U273:V273" si="447">U274+U275+U276+U277+U278+U279</f>
        <v>-122351.31999999999</v>
      </c>
      <c r="V273" s="257">
        <f t="shared" si="447"/>
        <v>-122351.31999999999</v>
      </c>
      <c r="W273" s="257">
        <f t="shared" ref="W273:X273" si="448">W274+W275+W276+W277+W278+W279</f>
        <v>-197644.43999999997</v>
      </c>
      <c r="X273" s="257">
        <f t="shared" si="448"/>
        <v>-197644.43999999997</v>
      </c>
      <c r="Y273" s="257">
        <f t="shared" ref="Y273:Z273" si="449">Y274+Y275+Y276+Y277+Y278+Y279</f>
        <v>-319995.76</v>
      </c>
      <c r="Z273" s="257">
        <f t="shared" si="449"/>
        <v>-319995.76</v>
      </c>
    </row>
    <row r="274" spans="1:26" ht="12.75" hidden="1" customHeight="1" x14ac:dyDescent="0.2">
      <c r="A274" s="259" t="s">
        <v>95</v>
      </c>
      <c r="B274" s="252" t="s">
        <v>130</v>
      </c>
      <c r="C274" s="252" t="s">
        <v>202</v>
      </c>
      <c r="D274" s="252" t="s">
        <v>212</v>
      </c>
      <c r="E274" s="252" t="s">
        <v>431</v>
      </c>
      <c r="F274" s="252" t="s">
        <v>96</v>
      </c>
      <c r="G274" s="257"/>
      <c r="H274" s="257"/>
      <c r="I274" s="257">
        <v>-6780.24</v>
      </c>
      <c r="J274" s="257">
        <f t="shared" ref="J274:J279" si="450">G274+I274</f>
        <v>-6780.24</v>
      </c>
      <c r="K274" s="257">
        <v>-6780.24</v>
      </c>
      <c r="L274" s="257">
        <f t="shared" ref="L274:R279" si="451">H274+J274</f>
        <v>-6780.24</v>
      </c>
      <c r="M274" s="257">
        <f t="shared" si="451"/>
        <v>-13560.48</v>
      </c>
      <c r="N274" s="257">
        <f t="shared" si="451"/>
        <v>-13560.48</v>
      </c>
      <c r="O274" s="257">
        <f t="shared" si="451"/>
        <v>-20340.72</v>
      </c>
      <c r="P274" s="257">
        <f t="shared" si="451"/>
        <v>-20340.72</v>
      </c>
      <c r="Q274" s="257">
        <f t="shared" si="451"/>
        <v>-33901.199999999997</v>
      </c>
      <c r="R274" s="257">
        <f t="shared" si="451"/>
        <v>-33901.199999999997</v>
      </c>
      <c r="S274" s="257">
        <f t="shared" ref="S274:S279" si="452">O274+Q274</f>
        <v>-54241.919999999998</v>
      </c>
      <c r="T274" s="257">
        <f t="shared" ref="T274:T279" si="453">P274+R274</f>
        <v>-54241.919999999998</v>
      </c>
      <c r="U274" s="257">
        <f t="shared" ref="U274:U279" si="454">Q274+S274</f>
        <v>-88143.12</v>
      </c>
      <c r="V274" s="257">
        <f t="shared" ref="V274:V279" si="455">R274+T274</f>
        <v>-88143.12</v>
      </c>
      <c r="W274" s="257">
        <f t="shared" ref="W274:W279" si="456">S274+U274</f>
        <v>-142385.03999999998</v>
      </c>
      <c r="X274" s="257">
        <f t="shared" ref="X274:X279" si="457">T274+V274</f>
        <v>-142385.03999999998</v>
      </c>
      <c r="Y274" s="257">
        <f t="shared" ref="Y274:Y279" si="458">U274+W274</f>
        <v>-230528.15999999997</v>
      </c>
      <c r="Z274" s="257">
        <f t="shared" ref="Z274:Z279" si="459">V274+X274</f>
        <v>-230528.15999999997</v>
      </c>
    </row>
    <row r="275" spans="1:26" ht="12.75" hidden="1" customHeight="1" x14ac:dyDescent="0.2">
      <c r="A275" s="259" t="s">
        <v>97</v>
      </c>
      <c r="B275" s="252" t="s">
        <v>130</v>
      </c>
      <c r="C275" s="252" t="s">
        <v>202</v>
      </c>
      <c r="D275" s="252" t="s">
        <v>212</v>
      </c>
      <c r="E275" s="252" t="s">
        <v>431</v>
      </c>
      <c r="F275" s="252" t="s">
        <v>98</v>
      </c>
      <c r="G275" s="257"/>
      <c r="H275" s="257"/>
      <c r="I275" s="257">
        <v>-281.39999999999998</v>
      </c>
      <c r="J275" s="257">
        <f t="shared" si="450"/>
        <v>-281.39999999999998</v>
      </c>
      <c r="K275" s="257">
        <v>-281.39999999999998</v>
      </c>
      <c r="L275" s="257">
        <f t="shared" si="451"/>
        <v>-281.39999999999998</v>
      </c>
      <c r="M275" s="257">
        <f t="shared" si="451"/>
        <v>-562.79999999999995</v>
      </c>
      <c r="N275" s="257">
        <f t="shared" si="451"/>
        <v>-562.79999999999995</v>
      </c>
      <c r="O275" s="257">
        <f t="shared" si="451"/>
        <v>-844.19999999999993</v>
      </c>
      <c r="P275" s="257">
        <f t="shared" si="451"/>
        <v>-844.19999999999993</v>
      </c>
      <c r="Q275" s="257">
        <f t="shared" si="451"/>
        <v>-1407</v>
      </c>
      <c r="R275" s="257">
        <f t="shared" si="451"/>
        <v>-1407</v>
      </c>
      <c r="S275" s="257">
        <f t="shared" si="452"/>
        <v>-2251.1999999999998</v>
      </c>
      <c r="T275" s="257">
        <f t="shared" si="453"/>
        <v>-2251.1999999999998</v>
      </c>
      <c r="U275" s="257">
        <f t="shared" si="454"/>
        <v>-3658.2</v>
      </c>
      <c r="V275" s="257">
        <f t="shared" si="455"/>
        <v>-3658.2</v>
      </c>
      <c r="W275" s="257">
        <f t="shared" si="456"/>
        <v>-5909.4</v>
      </c>
      <c r="X275" s="257">
        <f t="shared" si="457"/>
        <v>-5909.4</v>
      </c>
      <c r="Y275" s="257">
        <f t="shared" si="458"/>
        <v>-9567.5999999999985</v>
      </c>
      <c r="Z275" s="257">
        <f t="shared" si="459"/>
        <v>-9567.5999999999985</v>
      </c>
    </row>
    <row r="276" spans="1:26" ht="17.25" hidden="1" customHeight="1" x14ac:dyDescent="0.2">
      <c r="A276" s="259" t="s">
        <v>99</v>
      </c>
      <c r="B276" s="252" t="s">
        <v>130</v>
      </c>
      <c r="C276" s="252" t="s">
        <v>202</v>
      </c>
      <c r="D276" s="252" t="s">
        <v>212</v>
      </c>
      <c r="E276" s="252" t="s">
        <v>431</v>
      </c>
      <c r="F276" s="252" t="s">
        <v>100</v>
      </c>
      <c r="G276" s="257"/>
      <c r="H276" s="257"/>
      <c r="I276" s="257">
        <v>-200</v>
      </c>
      <c r="J276" s="257">
        <f t="shared" si="450"/>
        <v>-200</v>
      </c>
      <c r="K276" s="257">
        <v>-200</v>
      </c>
      <c r="L276" s="257">
        <f t="shared" si="451"/>
        <v>-200</v>
      </c>
      <c r="M276" s="257">
        <f t="shared" si="451"/>
        <v>-400</v>
      </c>
      <c r="N276" s="257">
        <f t="shared" si="451"/>
        <v>-400</v>
      </c>
      <c r="O276" s="257">
        <f t="shared" si="451"/>
        <v>-600</v>
      </c>
      <c r="P276" s="257">
        <f t="shared" si="451"/>
        <v>-600</v>
      </c>
      <c r="Q276" s="257">
        <f t="shared" si="451"/>
        <v>-1000</v>
      </c>
      <c r="R276" s="257">
        <f t="shared" si="451"/>
        <v>-1000</v>
      </c>
      <c r="S276" s="257">
        <f t="shared" si="452"/>
        <v>-1600</v>
      </c>
      <c r="T276" s="257">
        <f t="shared" si="453"/>
        <v>-1600</v>
      </c>
      <c r="U276" s="257">
        <f t="shared" si="454"/>
        <v>-2600</v>
      </c>
      <c r="V276" s="257">
        <f t="shared" si="455"/>
        <v>-2600</v>
      </c>
      <c r="W276" s="257">
        <f t="shared" si="456"/>
        <v>-4200</v>
      </c>
      <c r="X276" s="257">
        <f t="shared" si="457"/>
        <v>-4200</v>
      </c>
      <c r="Y276" s="257">
        <f t="shared" si="458"/>
        <v>-6800</v>
      </c>
      <c r="Z276" s="257">
        <f t="shared" si="459"/>
        <v>-6800</v>
      </c>
    </row>
    <row r="277" spans="1:26" ht="21" hidden="1" customHeight="1" x14ac:dyDescent="0.2">
      <c r="A277" s="259" t="s">
        <v>93</v>
      </c>
      <c r="B277" s="252" t="s">
        <v>130</v>
      </c>
      <c r="C277" s="252" t="s">
        <v>202</v>
      </c>
      <c r="D277" s="252" t="s">
        <v>212</v>
      </c>
      <c r="E277" s="252" t="s">
        <v>431</v>
      </c>
      <c r="F277" s="252" t="s">
        <v>94</v>
      </c>
      <c r="G277" s="257"/>
      <c r="H277" s="257"/>
      <c r="I277" s="257">
        <v>-2000</v>
      </c>
      <c r="J277" s="257">
        <f t="shared" si="450"/>
        <v>-2000</v>
      </c>
      <c r="K277" s="257">
        <v>-2000</v>
      </c>
      <c r="L277" s="257">
        <f t="shared" si="451"/>
        <v>-2000</v>
      </c>
      <c r="M277" s="257">
        <f t="shared" si="451"/>
        <v>-4000</v>
      </c>
      <c r="N277" s="257">
        <f t="shared" si="451"/>
        <v>-4000</v>
      </c>
      <c r="O277" s="257">
        <f t="shared" si="451"/>
        <v>-6000</v>
      </c>
      <c r="P277" s="257">
        <f t="shared" si="451"/>
        <v>-6000</v>
      </c>
      <c r="Q277" s="257">
        <f t="shared" si="451"/>
        <v>-10000</v>
      </c>
      <c r="R277" s="257">
        <f t="shared" si="451"/>
        <v>-10000</v>
      </c>
      <c r="S277" s="257">
        <f t="shared" si="452"/>
        <v>-16000</v>
      </c>
      <c r="T277" s="257">
        <f t="shared" si="453"/>
        <v>-16000</v>
      </c>
      <c r="U277" s="257">
        <f t="shared" si="454"/>
        <v>-26000</v>
      </c>
      <c r="V277" s="257">
        <f t="shared" si="455"/>
        <v>-26000</v>
      </c>
      <c r="W277" s="257">
        <f t="shared" si="456"/>
        <v>-42000</v>
      </c>
      <c r="X277" s="257">
        <f t="shared" si="457"/>
        <v>-42000</v>
      </c>
      <c r="Y277" s="257">
        <f t="shared" si="458"/>
        <v>-68000</v>
      </c>
      <c r="Z277" s="257">
        <f t="shared" si="459"/>
        <v>-68000</v>
      </c>
    </row>
    <row r="278" spans="1:26" ht="12.75" hidden="1" customHeight="1" x14ac:dyDescent="0.2">
      <c r="A278" s="259" t="s">
        <v>103</v>
      </c>
      <c r="B278" s="252" t="s">
        <v>130</v>
      </c>
      <c r="C278" s="252" t="s">
        <v>202</v>
      </c>
      <c r="D278" s="252" t="s">
        <v>212</v>
      </c>
      <c r="E278" s="252" t="s">
        <v>431</v>
      </c>
      <c r="F278" s="252" t="s">
        <v>104</v>
      </c>
      <c r="G278" s="257"/>
      <c r="H278" s="257"/>
      <c r="I278" s="257">
        <v>-31</v>
      </c>
      <c r="J278" s="257">
        <f t="shared" si="450"/>
        <v>-31</v>
      </c>
      <c r="K278" s="257">
        <v>-31</v>
      </c>
      <c r="L278" s="257">
        <f t="shared" si="451"/>
        <v>-31</v>
      </c>
      <c r="M278" s="257">
        <f t="shared" si="451"/>
        <v>-62</v>
      </c>
      <c r="N278" s="257">
        <f t="shared" si="451"/>
        <v>-62</v>
      </c>
      <c r="O278" s="257">
        <f t="shared" si="451"/>
        <v>-93</v>
      </c>
      <c r="P278" s="257">
        <f t="shared" si="451"/>
        <v>-93</v>
      </c>
      <c r="Q278" s="257">
        <f t="shared" si="451"/>
        <v>-155</v>
      </c>
      <c r="R278" s="257">
        <f t="shared" si="451"/>
        <v>-155</v>
      </c>
      <c r="S278" s="257">
        <f t="shared" si="452"/>
        <v>-248</v>
      </c>
      <c r="T278" s="257">
        <f t="shared" si="453"/>
        <v>-248</v>
      </c>
      <c r="U278" s="257">
        <f t="shared" si="454"/>
        <v>-403</v>
      </c>
      <c r="V278" s="257">
        <f t="shared" si="455"/>
        <v>-403</v>
      </c>
      <c r="W278" s="257">
        <f t="shared" si="456"/>
        <v>-651</v>
      </c>
      <c r="X278" s="257">
        <f t="shared" si="457"/>
        <v>-651</v>
      </c>
      <c r="Y278" s="257">
        <f t="shared" si="458"/>
        <v>-1054</v>
      </c>
      <c r="Z278" s="257">
        <f t="shared" si="459"/>
        <v>-1054</v>
      </c>
    </row>
    <row r="279" spans="1:26" ht="12.75" hidden="1" customHeight="1" x14ac:dyDescent="0.2">
      <c r="A279" s="259" t="s">
        <v>400</v>
      </c>
      <c r="B279" s="252" t="s">
        <v>130</v>
      </c>
      <c r="C279" s="252" t="s">
        <v>202</v>
      </c>
      <c r="D279" s="252" t="s">
        <v>212</v>
      </c>
      <c r="E279" s="252" t="s">
        <v>431</v>
      </c>
      <c r="F279" s="252" t="s">
        <v>106</v>
      </c>
      <c r="G279" s="257"/>
      <c r="H279" s="257"/>
      <c r="I279" s="257">
        <v>-119</v>
      </c>
      <c r="J279" s="257">
        <f t="shared" si="450"/>
        <v>-119</v>
      </c>
      <c r="K279" s="257">
        <v>-119</v>
      </c>
      <c r="L279" s="257">
        <f t="shared" si="451"/>
        <v>-119</v>
      </c>
      <c r="M279" s="257">
        <f t="shared" si="451"/>
        <v>-238</v>
      </c>
      <c r="N279" s="257">
        <f t="shared" si="451"/>
        <v>-238</v>
      </c>
      <c r="O279" s="257">
        <f t="shared" si="451"/>
        <v>-357</v>
      </c>
      <c r="P279" s="257">
        <f t="shared" si="451"/>
        <v>-357</v>
      </c>
      <c r="Q279" s="257">
        <f t="shared" si="451"/>
        <v>-595</v>
      </c>
      <c r="R279" s="257">
        <f t="shared" si="451"/>
        <v>-595</v>
      </c>
      <c r="S279" s="257">
        <f t="shared" si="452"/>
        <v>-952</v>
      </c>
      <c r="T279" s="257">
        <f t="shared" si="453"/>
        <v>-952</v>
      </c>
      <c r="U279" s="257">
        <f t="shared" si="454"/>
        <v>-1547</v>
      </c>
      <c r="V279" s="257">
        <f t="shared" si="455"/>
        <v>-1547</v>
      </c>
      <c r="W279" s="257">
        <f t="shared" si="456"/>
        <v>-2499</v>
      </c>
      <c r="X279" s="257">
        <f t="shared" si="457"/>
        <v>-2499</v>
      </c>
      <c r="Y279" s="257">
        <f t="shared" si="458"/>
        <v>-4046</v>
      </c>
      <c r="Z279" s="257">
        <f t="shared" si="459"/>
        <v>-4046</v>
      </c>
    </row>
    <row r="280" spans="1:26" ht="30.75" customHeight="1" x14ac:dyDescent="0.2">
      <c r="A280" s="259" t="s">
        <v>977</v>
      </c>
      <c r="B280" s="252" t="s">
        <v>130</v>
      </c>
      <c r="C280" s="252" t="s">
        <v>202</v>
      </c>
      <c r="D280" s="252" t="s">
        <v>212</v>
      </c>
      <c r="E280" s="252"/>
      <c r="F280" s="252"/>
      <c r="G280" s="257" t="e">
        <f>G282+#REF!+G292+G293+G294+G296+G297</f>
        <v>#REF!</v>
      </c>
      <c r="H280" s="257" t="e">
        <f>H281+#REF!+H292+H293+H294+H296+H297+H286+H287</f>
        <v>#REF!</v>
      </c>
      <c r="I280" s="257" t="e">
        <f>I281+#REF!+I292+I293+I294+I296+I297+I286+I287</f>
        <v>#REF!</v>
      </c>
      <c r="J280" s="257" t="e">
        <f>J281+#REF!+J292+J293+J294+J296+J297+J286+J287</f>
        <v>#REF!</v>
      </c>
      <c r="K280" s="257" t="e">
        <f>K281+#REF!+K292+K293+K294+K296+K297+K286+K287+K298</f>
        <v>#REF!</v>
      </c>
      <c r="L280" s="257">
        <f>L281+L292+L293+L294+L296+L297+L286+L287+L298</f>
        <v>9532</v>
      </c>
      <c r="M280" s="257">
        <f>M281+M292+M293+M294+M296+M297+M286+M287+M298</f>
        <v>9532</v>
      </c>
      <c r="N280" s="257">
        <f t="shared" ref="N280:Q280" si="460">N281+N292+N293+N294+N296+N297+N286+N287+N298</f>
        <v>404</v>
      </c>
      <c r="O280" s="257">
        <f t="shared" si="460"/>
        <v>9936</v>
      </c>
      <c r="P280" s="257">
        <f t="shared" si="460"/>
        <v>9936</v>
      </c>
      <c r="Q280" s="257">
        <f t="shared" si="460"/>
        <v>0</v>
      </c>
      <c r="R280" s="257">
        <f>R281+R285</f>
        <v>18875.5</v>
      </c>
      <c r="S280" s="257">
        <f t="shared" ref="S280:T280" si="461">S281+S285</f>
        <v>4562</v>
      </c>
      <c r="T280" s="257">
        <f t="shared" si="461"/>
        <v>23134.5</v>
      </c>
      <c r="U280" s="257">
        <f t="shared" ref="U280:V280" si="462">U281+U285</f>
        <v>2231.6</v>
      </c>
      <c r="V280" s="257">
        <f t="shared" si="462"/>
        <v>16638.5</v>
      </c>
      <c r="W280" s="257">
        <f t="shared" ref="W280" si="463">W281+W285</f>
        <v>11134.9</v>
      </c>
      <c r="X280" s="257">
        <f>X281+X285</f>
        <v>20402.63</v>
      </c>
      <c r="Y280" s="257">
        <f t="shared" ref="Y280:Z280" si="464">Y281+Y285</f>
        <v>9229.2400000000016</v>
      </c>
      <c r="Z280" s="257">
        <f t="shared" si="464"/>
        <v>29631.870000000003</v>
      </c>
    </row>
    <row r="281" spans="1:26" ht="15" customHeight="1" x14ac:dyDescent="0.2">
      <c r="A281" s="259" t="s">
        <v>913</v>
      </c>
      <c r="B281" s="252" t="s">
        <v>130</v>
      </c>
      <c r="C281" s="252" t="s">
        <v>202</v>
      </c>
      <c r="D281" s="252" t="s">
        <v>212</v>
      </c>
      <c r="E281" s="252" t="s">
        <v>848</v>
      </c>
      <c r="F281" s="252"/>
      <c r="G281" s="257"/>
      <c r="H281" s="257">
        <f t="shared" ref="H281:Q281" si="465">H282+H284</f>
        <v>2530</v>
      </c>
      <c r="I281" s="257">
        <f t="shared" si="465"/>
        <v>0</v>
      </c>
      <c r="J281" s="257">
        <f t="shared" si="465"/>
        <v>2530</v>
      </c>
      <c r="K281" s="257">
        <f t="shared" si="465"/>
        <v>0</v>
      </c>
      <c r="L281" s="257">
        <f t="shared" si="465"/>
        <v>1915</v>
      </c>
      <c r="M281" s="257">
        <f t="shared" si="465"/>
        <v>1915</v>
      </c>
      <c r="N281" s="257">
        <f t="shared" si="465"/>
        <v>6</v>
      </c>
      <c r="O281" s="257">
        <f t="shared" si="465"/>
        <v>1921</v>
      </c>
      <c r="P281" s="257">
        <f t="shared" si="465"/>
        <v>1921</v>
      </c>
      <c r="Q281" s="257">
        <f t="shared" si="465"/>
        <v>0</v>
      </c>
      <c r="R281" s="257">
        <f>R282+R284+R283</f>
        <v>1921</v>
      </c>
      <c r="S281" s="257">
        <f t="shared" ref="S281:T281" si="466">S282+S284+S283</f>
        <v>876</v>
      </c>
      <c r="T281" s="257">
        <f t="shared" si="466"/>
        <v>2797</v>
      </c>
      <c r="U281" s="257">
        <f t="shared" ref="U281:V281" si="467">U282+U284+U283</f>
        <v>388</v>
      </c>
      <c r="V281" s="257">
        <f t="shared" si="467"/>
        <v>2797</v>
      </c>
      <c r="W281" s="257">
        <f t="shared" ref="W281:X281" si="468">W282+W284+W283</f>
        <v>406</v>
      </c>
      <c r="X281" s="257">
        <f t="shared" si="468"/>
        <v>3115</v>
      </c>
      <c r="Y281" s="257">
        <f t="shared" ref="Y281:Z281" si="469">Y282+Y284+Y283</f>
        <v>0</v>
      </c>
      <c r="Z281" s="257">
        <f t="shared" si="469"/>
        <v>3115</v>
      </c>
    </row>
    <row r="282" spans="1:26" ht="12.75" customHeight="1" x14ac:dyDescent="0.2">
      <c r="A282" s="259" t="s">
        <v>95</v>
      </c>
      <c r="B282" s="252" t="s">
        <v>130</v>
      </c>
      <c r="C282" s="252" t="s">
        <v>202</v>
      </c>
      <c r="D282" s="252" t="s">
        <v>212</v>
      </c>
      <c r="E282" s="252" t="s">
        <v>848</v>
      </c>
      <c r="F282" s="252" t="s">
        <v>96</v>
      </c>
      <c r="G282" s="257"/>
      <c r="H282" s="257">
        <v>2530</v>
      </c>
      <c r="I282" s="257">
        <v>-586.84</v>
      </c>
      <c r="J282" s="257">
        <f t="shared" ref="J282:J297" si="470">H282+I282</f>
        <v>1943.1599999999999</v>
      </c>
      <c r="K282" s="257">
        <v>0</v>
      </c>
      <c r="L282" s="257">
        <v>1470</v>
      </c>
      <c r="M282" s="257">
        <v>1470</v>
      </c>
      <c r="N282" s="257">
        <v>5</v>
      </c>
      <c r="O282" s="257">
        <f>M282+N282</f>
        <v>1475</v>
      </c>
      <c r="P282" s="257">
        <v>1475</v>
      </c>
      <c r="Q282" s="257">
        <v>0</v>
      </c>
      <c r="R282" s="257">
        <f t="shared" si="365"/>
        <v>1475</v>
      </c>
      <c r="S282" s="257">
        <v>673</v>
      </c>
      <c r="T282" s="257">
        <f t="shared" ref="T282:T298" si="471">R282+S282</f>
        <v>2148</v>
      </c>
      <c r="U282" s="257">
        <v>244</v>
      </c>
      <c r="V282" s="257">
        <v>2148</v>
      </c>
      <c r="W282" s="257">
        <v>258</v>
      </c>
      <c r="X282" s="257">
        <v>2392</v>
      </c>
      <c r="Y282" s="257">
        <v>0</v>
      </c>
      <c r="Z282" s="257">
        <f t="shared" ref="Z282:Z284" si="472">X282+Y282</f>
        <v>2392</v>
      </c>
    </row>
    <row r="283" spans="1:26" ht="18.75" hidden="1" customHeight="1" x14ac:dyDescent="0.2">
      <c r="A283" s="259" t="s">
        <v>97</v>
      </c>
      <c r="B283" s="252" t="s">
        <v>130</v>
      </c>
      <c r="C283" s="252" t="s">
        <v>202</v>
      </c>
      <c r="D283" s="252" t="s">
        <v>212</v>
      </c>
      <c r="E283" s="252" t="s">
        <v>848</v>
      </c>
      <c r="F283" s="252" t="s">
        <v>98</v>
      </c>
      <c r="G283" s="257"/>
      <c r="H283" s="257"/>
      <c r="I283" s="257"/>
      <c r="J283" s="257"/>
      <c r="K283" s="257"/>
      <c r="L283" s="257"/>
      <c r="M283" s="257"/>
      <c r="N283" s="257"/>
      <c r="O283" s="257"/>
      <c r="P283" s="257"/>
      <c r="Q283" s="257"/>
      <c r="R283" s="257">
        <v>0</v>
      </c>
      <c r="S283" s="257">
        <v>0</v>
      </c>
      <c r="T283" s="257">
        <f t="shared" si="471"/>
        <v>0</v>
      </c>
      <c r="U283" s="257">
        <v>70</v>
      </c>
      <c r="V283" s="257">
        <v>0</v>
      </c>
      <c r="W283" s="257">
        <v>70</v>
      </c>
      <c r="X283" s="257">
        <v>0</v>
      </c>
      <c r="Y283" s="257">
        <v>0</v>
      </c>
      <c r="Z283" s="257">
        <f t="shared" si="472"/>
        <v>0</v>
      </c>
    </row>
    <row r="284" spans="1:26" ht="34.5" customHeight="1" x14ac:dyDescent="0.2">
      <c r="A284" s="273" t="s">
        <v>898</v>
      </c>
      <c r="B284" s="252" t="s">
        <v>130</v>
      </c>
      <c r="C284" s="252" t="s">
        <v>202</v>
      </c>
      <c r="D284" s="252" t="s">
        <v>212</v>
      </c>
      <c r="E284" s="252" t="s">
        <v>848</v>
      </c>
      <c r="F284" s="252" t="s">
        <v>896</v>
      </c>
      <c r="G284" s="257"/>
      <c r="H284" s="257"/>
      <c r="I284" s="257">
        <v>586.84</v>
      </c>
      <c r="J284" s="257">
        <f t="shared" si="470"/>
        <v>586.84</v>
      </c>
      <c r="K284" s="257">
        <v>0</v>
      </c>
      <c r="L284" s="257">
        <v>445</v>
      </c>
      <c r="M284" s="257">
        <v>445</v>
      </c>
      <c r="N284" s="257">
        <v>1</v>
      </c>
      <c r="O284" s="257">
        <f t="shared" ref="O284:O297" si="473">M284+N284</f>
        <v>446</v>
      </c>
      <c r="P284" s="257">
        <v>446</v>
      </c>
      <c r="Q284" s="257">
        <v>0</v>
      </c>
      <c r="R284" s="257">
        <f t="shared" si="365"/>
        <v>446</v>
      </c>
      <c r="S284" s="257">
        <v>203</v>
      </c>
      <c r="T284" s="257">
        <f t="shared" si="471"/>
        <v>649</v>
      </c>
      <c r="U284" s="257">
        <v>74</v>
      </c>
      <c r="V284" s="257">
        <v>649</v>
      </c>
      <c r="W284" s="257">
        <v>78</v>
      </c>
      <c r="X284" s="257">
        <v>723</v>
      </c>
      <c r="Y284" s="257">
        <v>0</v>
      </c>
      <c r="Z284" s="257">
        <f t="shared" si="472"/>
        <v>723</v>
      </c>
    </row>
    <row r="285" spans="1:26" ht="33.75" customHeight="1" x14ac:dyDescent="0.2">
      <c r="A285" s="416" t="s">
        <v>1079</v>
      </c>
      <c r="B285" s="252" t="s">
        <v>130</v>
      </c>
      <c r="C285" s="252" t="s">
        <v>202</v>
      </c>
      <c r="D285" s="252" t="s">
        <v>212</v>
      </c>
      <c r="E285" s="252"/>
      <c r="F285" s="252"/>
      <c r="G285" s="257"/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>
        <f>R286+R287+R288+R289+R292+R293+R294+R296+R297+R299</f>
        <v>16954.5</v>
      </c>
      <c r="S285" s="257">
        <f t="shared" ref="S285" si="474">S286+S287+S288+S289+S292+S293+S294+S296+S297+S299</f>
        <v>3686</v>
      </c>
      <c r="T285" s="257">
        <f>T286+T287+T288+T289+T292+T293+T294+T296+T297+T299+T295</f>
        <v>20337.5</v>
      </c>
      <c r="U285" s="257">
        <f t="shared" ref="U285:V285" si="475">U286+U287+U288+U289+U292+U293+U294+U296+U297+U299+U295</f>
        <v>1843.6</v>
      </c>
      <c r="V285" s="257">
        <f t="shared" si="475"/>
        <v>13841.5</v>
      </c>
      <c r="W285" s="257">
        <f t="shared" ref="W285" si="476">W286+W287+W288+W289+W292+W293+W294+W296+W297+W299+W295</f>
        <v>10728.9</v>
      </c>
      <c r="X285" s="257">
        <f>X286+X287+X288+X289+X292+X293+X294+X296+X297+X299+X295+X290+X291</f>
        <v>17287.63</v>
      </c>
      <c r="Y285" s="257">
        <f t="shared" ref="Y285:Z285" si="477">Y286+Y287+Y288+Y289+Y292+Y293+Y294+Y296+Y297+Y299+Y295+Y290+Y291</f>
        <v>9229.2400000000016</v>
      </c>
      <c r="Z285" s="257">
        <f t="shared" si="477"/>
        <v>26516.870000000003</v>
      </c>
    </row>
    <row r="286" spans="1:26" ht="15.75" customHeight="1" x14ac:dyDescent="0.2">
      <c r="A286" s="375" t="s">
        <v>897</v>
      </c>
      <c r="B286" s="252" t="s">
        <v>130</v>
      </c>
      <c r="C286" s="252" t="s">
        <v>202</v>
      </c>
      <c r="D286" s="252" t="s">
        <v>212</v>
      </c>
      <c r="E286" s="252" t="s">
        <v>846</v>
      </c>
      <c r="F286" s="252" t="s">
        <v>832</v>
      </c>
      <c r="G286" s="257"/>
      <c r="H286" s="257">
        <v>0</v>
      </c>
      <c r="I286" s="257">
        <v>3218.13</v>
      </c>
      <c r="J286" s="257">
        <f t="shared" si="470"/>
        <v>3218.13</v>
      </c>
      <c r="K286" s="257">
        <v>0</v>
      </c>
      <c r="L286" s="257">
        <v>4467</v>
      </c>
      <c r="M286" s="257">
        <v>4467</v>
      </c>
      <c r="N286" s="257">
        <v>383</v>
      </c>
      <c r="O286" s="257">
        <f t="shared" si="473"/>
        <v>4850</v>
      </c>
      <c r="P286" s="257">
        <v>4850</v>
      </c>
      <c r="Q286" s="257">
        <v>0</v>
      </c>
      <c r="R286" s="257">
        <f t="shared" si="365"/>
        <v>4850</v>
      </c>
      <c r="S286" s="257">
        <f>574+43.5</f>
        <v>617.5</v>
      </c>
      <c r="T286" s="257">
        <v>5424</v>
      </c>
      <c r="U286" s="257">
        <v>617</v>
      </c>
      <c r="V286" s="257">
        <v>5424</v>
      </c>
      <c r="W286" s="257">
        <v>1062</v>
      </c>
      <c r="X286" s="257">
        <v>7282</v>
      </c>
      <c r="Y286" s="257">
        <v>0</v>
      </c>
      <c r="Z286" s="257">
        <f t="shared" ref="Z286:Z298" si="478">X286+Y286</f>
        <v>7282</v>
      </c>
    </row>
    <row r="287" spans="1:26" ht="30" customHeight="1" x14ac:dyDescent="0.2">
      <c r="A287" s="375" t="s">
        <v>900</v>
      </c>
      <c r="B287" s="252" t="s">
        <v>130</v>
      </c>
      <c r="C287" s="252" t="s">
        <v>202</v>
      </c>
      <c r="D287" s="252" t="s">
        <v>212</v>
      </c>
      <c r="E287" s="252" t="s">
        <v>846</v>
      </c>
      <c r="F287" s="252" t="s">
        <v>899</v>
      </c>
      <c r="G287" s="257"/>
      <c r="H287" s="257">
        <v>0</v>
      </c>
      <c r="I287" s="257">
        <v>971.87</v>
      </c>
      <c r="J287" s="257">
        <f t="shared" si="470"/>
        <v>971.87</v>
      </c>
      <c r="K287" s="257">
        <v>0</v>
      </c>
      <c r="L287" s="257">
        <v>1350</v>
      </c>
      <c r="M287" s="257">
        <v>1350</v>
      </c>
      <c r="N287" s="257">
        <v>115</v>
      </c>
      <c r="O287" s="257">
        <f t="shared" si="473"/>
        <v>1465</v>
      </c>
      <c r="P287" s="257">
        <v>1465</v>
      </c>
      <c r="Q287" s="257">
        <v>0</v>
      </c>
      <c r="R287" s="257">
        <f t="shared" si="365"/>
        <v>1465</v>
      </c>
      <c r="S287" s="257">
        <f>174+13</f>
        <v>187</v>
      </c>
      <c r="T287" s="257">
        <v>1639</v>
      </c>
      <c r="U287" s="257">
        <v>186</v>
      </c>
      <c r="V287" s="257">
        <v>1639</v>
      </c>
      <c r="W287" s="257">
        <v>320</v>
      </c>
      <c r="X287" s="257">
        <v>2199</v>
      </c>
      <c r="Y287" s="257">
        <v>0</v>
      </c>
      <c r="Z287" s="257">
        <f t="shared" si="478"/>
        <v>2199</v>
      </c>
    </row>
    <row r="288" spans="1:26" ht="21" customHeight="1" x14ac:dyDescent="0.2">
      <c r="A288" s="375" t="s">
        <v>897</v>
      </c>
      <c r="B288" s="252" t="s">
        <v>130</v>
      </c>
      <c r="C288" s="252" t="s">
        <v>202</v>
      </c>
      <c r="D288" s="252" t="s">
        <v>212</v>
      </c>
      <c r="E288" s="252" t="s">
        <v>1080</v>
      </c>
      <c r="F288" s="252" t="s">
        <v>832</v>
      </c>
      <c r="G288" s="257"/>
      <c r="H288" s="257"/>
      <c r="I288" s="257"/>
      <c r="J288" s="257"/>
      <c r="K288" s="257"/>
      <c r="L288" s="257"/>
      <c r="M288" s="257"/>
      <c r="N288" s="257"/>
      <c r="O288" s="257"/>
      <c r="P288" s="257"/>
      <c r="Q288" s="257"/>
      <c r="R288" s="257">
        <v>0</v>
      </c>
      <c r="S288" s="257">
        <f>1200</f>
        <v>1200</v>
      </c>
      <c r="T288" s="257">
        <f t="shared" si="471"/>
        <v>1200</v>
      </c>
      <c r="U288" s="257">
        <v>0</v>
      </c>
      <c r="V288" s="257">
        <v>0</v>
      </c>
      <c r="W288" s="257">
        <v>1200</v>
      </c>
      <c r="X288" s="257">
        <v>1200</v>
      </c>
      <c r="Y288" s="257">
        <v>-1200</v>
      </c>
      <c r="Z288" s="257">
        <f t="shared" si="478"/>
        <v>0</v>
      </c>
    </row>
    <row r="289" spans="1:26" ht="30" customHeight="1" x14ac:dyDescent="0.2">
      <c r="A289" s="375" t="s">
        <v>900</v>
      </c>
      <c r="B289" s="252" t="s">
        <v>130</v>
      </c>
      <c r="C289" s="252" t="s">
        <v>202</v>
      </c>
      <c r="D289" s="252" t="s">
        <v>212</v>
      </c>
      <c r="E289" s="252" t="s">
        <v>1080</v>
      </c>
      <c r="F289" s="252" t="s">
        <v>899</v>
      </c>
      <c r="G289" s="257"/>
      <c r="H289" s="257"/>
      <c r="I289" s="257"/>
      <c r="J289" s="257"/>
      <c r="K289" s="257"/>
      <c r="L289" s="257"/>
      <c r="M289" s="257"/>
      <c r="N289" s="257"/>
      <c r="O289" s="257"/>
      <c r="P289" s="257"/>
      <c r="Q289" s="257"/>
      <c r="R289" s="257">
        <v>0</v>
      </c>
      <c r="S289" s="257">
        <f>362</f>
        <v>362</v>
      </c>
      <c r="T289" s="257">
        <f t="shared" si="471"/>
        <v>362</v>
      </c>
      <c r="U289" s="257">
        <v>0</v>
      </c>
      <c r="V289" s="257">
        <v>0</v>
      </c>
      <c r="W289" s="257">
        <v>362</v>
      </c>
      <c r="X289" s="257">
        <v>362</v>
      </c>
      <c r="Y289" s="257">
        <v>-362</v>
      </c>
      <c r="Z289" s="257">
        <f t="shared" si="478"/>
        <v>0</v>
      </c>
    </row>
    <row r="290" spans="1:26" ht="22.5" customHeight="1" x14ac:dyDescent="0.2">
      <c r="A290" s="375" t="s">
        <v>897</v>
      </c>
      <c r="B290" s="252" t="s">
        <v>130</v>
      </c>
      <c r="C290" s="252" t="s">
        <v>202</v>
      </c>
      <c r="D290" s="252" t="s">
        <v>212</v>
      </c>
      <c r="E290" s="252" t="s">
        <v>1257</v>
      </c>
      <c r="F290" s="252" t="s">
        <v>832</v>
      </c>
      <c r="G290" s="257"/>
      <c r="H290" s="257"/>
      <c r="I290" s="257"/>
      <c r="J290" s="257"/>
      <c r="K290" s="257"/>
      <c r="L290" s="257"/>
      <c r="M290" s="257"/>
      <c r="N290" s="257"/>
      <c r="O290" s="257"/>
      <c r="P290" s="257"/>
      <c r="Q290" s="257"/>
      <c r="R290" s="257">
        <v>0</v>
      </c>
      <c r="S290" s="257">
        <f>1200</f>
        <v>1200</v>
      </c>
      <c r="T290" s="257">
        <f t="shared" ref="T290:T291" si="479">R290+S290</f>
        <v>1200</v>
      </c>
      <c r="U290" s="257">
        <v>0</v>
      </c>
      <c r="V290" s="257">
        <v>0</v>
      </c>
      <c r="W290" s="257">
        <v>1200</v>
      </c>
      <c r="X290" s="257">
        <v>0</v>
      </c>
      <c r="Y290" s="257">
        <v>2000</v>
      </c>
      <c r="Z290" s="257">
        <f t="shared" ref="Z290:Z291" si="480">X290+Y290</f>
        <v>2000</v>
      </c>
    </row>
    <row r="291" spans="1:26" ht="30" customHeight="1" x14ac:dyDescent="0.2">
      <c r="A291" s="375" t="s">
        <v>900</v>
      </c>
      <c r="B291" s="252" t="s">
        <v>130</v>
      </c>
      <c r="C291" s="252" t="s">
        <v>202</v>
      </c>
      <c r="D291" s="252" t="s">
        <v>212</v>
      </c>
      <c r="E291" s="252" t="s">
        <v>1257</v>
      </c>
      <c r="F291" s="252" t="s">
        <v>899</v>
      </c>
      <c r="G291" s="257"/>
      <c r="H291" s="257"/>
      <c r="I291" s="257"/>
      <c r="J291" s="257"/>
      <c r="K291" s="257"/>
      <c r="L291" s="257"/>
      <c r="M291" s="257"/>
      <c r="N291" s="257"/>
      <c r="O291" s="257"/>
      <c r="P291" s="257"/>
      <c r="Q291" s="257"/>
      <c r="R291" s="257">
        <v>0</v>
      </c>
      <c r="S291" s="257">
        <f>362</f>
        <v>362</v>
      </c>
      <c r="T291" s="257">
        <f t="shared" si="479"/>
        <v>362</v>
      </c>
      <c r="U291" s="257">
        <v>0</v>
      </c>
      <c r="V291" s="257">
        <v>0</v>
      </c>
      <c r="W291" s="257">
        <v>362</v>
      </c>
      <c r="X291" s="257">
        <v>0</v>
      </c>
      <c r="Y291" s="257">
        <v>600</v>
      </c>
      <c r="Z291" s="257">
        <f t="shared" si="480"/>
        <v>600</v>
      </c>
    </row>
    <row r="292" spans="1:26" ht="12.75" customHeight="1" x14ac:dyDescent="0.2">
      <c r="A292" s="259" t="s">
        <v>952</v>
      </c>
      <c r="B292" s="252" t="s">
        <v>130</v>
      </c>
      <c r="C292" s="252" t="s">
        <v>202</v>
      </c>
      <c r="D292" s="252" t="s">
        <v>212</v>
      </c>
      <c r="E292" s="252" t="s">
        <v>846</v>
      </c>
      <c r="F292" s="252" t="s">
        <v>919</v>
      </c>
      <c r="G292" s="257"/>
      <c r="H292" s="257">
        <v>261</v>
      </c>
      <c r="I292" s="257">
        <v>0</v>
      </c>
      <c r="J292" s="257">
        <f t="shared" si="470"/>
        <v>261</v>
      </c>
      <c r="K292" s="257">
        <v>0</v>
      </c>
      <c r="L292" s="257">
        <v>200</v>
      </c>
      <c r="M292" s="257">
        <v>200</v>
      </c>
      <c r="N292" s="257">
        <v>0</v>
      </c>
      <c r="O292" s="257">
        <f t="shared" si="473"/>
        <v>200</v>
      </c>
      <c r="P292" s="257">
        <v>200</v>
      </c>
      <c r="Q292" s="257">
        <v>0</v>
      </c>
      <c r="R292" s="257">
        <f t="shared" si="365"/>
        <v>200</v>
      </c>
      <c r="S292" s="257">
        <v>0</v>
      </c>
      <c r="T292" s="257">
        <f t="shared" si="471"/>
        <v>200</v>
      </c>
      <c r="U292" s="257">
        <v>0</v>
      </c>
      <c r="V292" s="257">
        <v>200</v>
      </c>
      <c r="W292" s="257">
        <v>0</v>
      </c>
      <c r="X292" s="257">
        <v>200</v>
      </c>
      <c r="Y292" s="257">
        <v>0</v>
      </c>
      <c r="Z292" s="257">
        <f t="shared" si="478"/>
        <v>200</v>
      </c>
    </row>
    <row r="293" spans="1:26" ht="12.75" hidden="1" customHeight="1" x14ac:dyDescent="0.2">
      <c r="A293" s="259" t="s">
        <v>99</v>
      </c>
      <c r="B293" s="252" t="s">
        <v>130</v>
      </c>
      <c r="C293" s="252" t="s">
        <v>202</v>
      </c>
      <c r="D293" s="252" t="s">
        <v>212</v>
      </c>
      <c r="E293" s="252" t="s">
        <v>846</v>
      </c>
      <c r="F293" s="252" t="s">
        <v>100</v>
      </c>
      <c r="G293" s="257"/>
      <c r="H293" s="257">
        <v>196</v>
      </c>
      <c r="I293" s="257">
        <v>0</v>
      </c>
      <c r="J293" s="257">
        <f t="shared" si="470"/>
        <v>196</v>
      </c>
      <c r="K293" s="257">
        <v>193.16</v>
      </c>
      <c r="L293" s="257">
        <v>300</v>
      </c>
      <c r="M293" s="257">
        <v>300</v>
      </c>
      <c r="N293" s="257">
        <v>0</v>
      </c>
      <c r="O293" s="257">
        <f t="shared" si="473"/>
        <v>300</v>
      </c>
      <c r="P293" s="257">
        <v>300</v>
      </c>
      <c r="Q293" s="257">
        <v>0</v>
      </c>
      <c r="R293" s="257">
        <f t="shared" si="365"/>
        <v>300</v>
      </c>
      <c r="S293" s="257">
        <v>0</v>
      </c>
      <c r="T293" s="257">
        <f t="shared" si="471"/>
        <v>300</v>
      </c>
      <c r="U293" s="257">
        <v>0</v>
      </c>
      <c r="V293" s="257">
        <v>300</v>
      </c>
      <c r="W293" s="257">
        <v>-300</v>
      </c>
      <c r="X293" s="257">
        <v>0</v>
      </c>
      <c r="Y293" s="257">
        <v>0</v>
      </c>
      <c r="Z293" s="257">
        <f t="shared" si="478"/>
        <v>0</v>
      </c>
    </row>
    <row r="294" spans="1:26" ht="12.75" customHeight="1" x14ac:dyDescent="0.2">
      <c r="A294" s="259" t="s">
        <v>93</v>
      </c>
      <c r="B294" s="252" t="s">
        <v>130</v>
      </c>
      <c r="C294" s="252" t="s">
        <v>202</v>
      </c>
      <c r="D294" s="252" t="s">
        <v>212</v>
      </c>
      <c r="E294" s="252" t="s">
        <v>846</v>
      </c>
      <c r="F294" s="252" t="s">
        <v>94</v>
      </c>
      <c r="G294" s="257"/>
      <c r="H294" s="257">
        <v>1500</v>
      </c>
      <c r="I294" s="257">
        <v>0</v>
      </c>
      <c r="J294" s="257">
        <f t="shared" si="470"/>
        <v>1500</v>
      </c>
      <c r="K294" s="257">
        <v>-395.6</v>
      </c>
      <c r="L294" s="257">
        <v>1200</v>
      </c>
      <c r="M294" s="257">
        <v>1200</v>
      </c>
      <c r="N294" s="257">
        <v>-100</v>
      </c>
      <c r="O294" s="257">
        <f t="shared" si="473"/>
        <v>1100</v>
      </c>
      <c r="P294" s="257">
        <v>1100</v>
      </c>
      <c r="Q294" s="257">
        <v>0</v>
      </c>
      <c r="R294" s="257">
        <f t="shared" si="365"/>
        <v>1100</v>
      </c>
      <c r="S294" s="257">
        <v>0</v>
      </c>
      <c r="T294" s="257">
        <f t="shared" si="471"/>
        <v>1100</v>
      </c>
      <c r="U294" s="257">
        <v>-118</v>
      </c>
      <c r="V294" s="257">
        <v>1100</v>
      </c>
      <c r="W294" s="257">
        <f>50+1000</f>
        <v>1050</v>
      </c>
      <c r="X294" s="257">
        <v>1400</v>
      </c>
      <c r="Y294" s="257">
        <v>-150</v>
      </c>
      <c r="Z294" s="257">
        <f t="shared" si="478"/>
        <v>1250</v>
      </c>
    </row>
    <row r="295" spans="1:26" ht="12.75" customHeight="1" x14ac:dyDescent="0.2">
      <c r="A295" s="259" t="s">
        <v>1167</v>
      </c>
      <c r="B295" s="252" t="s">
        <v>130</v>
      </c>
      <c r="C295" s="252" t="s">
        <v>202</v>
      </c>
      <c r="D295" s="252" t="s">
        <v>212</v>
      </c>
      <c r="E295" s="252" t="s">
        <v>846</v>
      </c>
      <c r="F295" s="252" t="s">
        <v>1166</v>
      </c>
      <c r="G295" s="257"/>
      <c r="H295" s="257">
        <v>1500</v>
      </c>
      <c r="I295" s="257">
        <v>0</v>
      </c>
      <c r="J295" s="257">
        <f t="shared" ref="J295" si="481">H295+I295</f>
        <v>1500</v>
      </c>
      <c r="K295" s="257">
        <v>-395.6</v>
      </c>
      <c r="L295" s="257">
        <v>1200</v>
      </c>
      <c r="M295" s="257">
        <v>1200</v>
      </c>
      <c r="N295" s="257">
        <v>-100</v>
      </c>
      <c r="O295" s="257">
        <f t="shared" ref="O295" si="482">M295+N295</f>
        <v>1100</v>
      </c>
      <c r="P295" s="257">
        <v>1100</v>
      </c>
      <c r="Q295" s="257">
        <v>0</v>
      </c>
      <c r="R295" s="257">
        <f t="shared" ref="R295" si="483">P295+Q295</f>
        <v>1100</v>
      </c>
      <c r="S295" s="257">
        <v>0</v>
      </c>
      <c r="T295" s="257">
        <v>0</v>
      </c>
      <c r="U295" s="257">
        <v>118</v>
      </c>
      <c r="V295" s="257">
        <v>0</v>
      </c>
      <c r="W295" s="257">
        <v>118</v>
      </c>
      <c r="X295" s="257">
        <v>0</v>
      </c>
      <c r="Y295" s="257">
        <v>150</v>
      </c>
      <c r="Z295" s="257">
        <f t="shared" si="478"/>
        <v>150</v>
      </c>
    </row>
    <row r="296" spans="1:26" ht="12.75" customHeight="1" x14ac:dyDescent="0.2">
      <c r="A296" s="259" t="s">
        <v>103</v>
      </c>
      <c r="B296" s="252" t="s">
        <v>130</v>
      </c>
      <c r="C296" s="252" t="s">
        <v>202</v>
      </c>
      <c r="D296" s="252" t="s">
        <v>212</v>
      </c>
      <c r="E296" s="252" t="s">
        <v>846</v>
      </c>
      <c r="F296" s="252" t="s">
        <v>104</v>
      </c>
      <c r="G296" s="257"/>
      <c r="H296" s="257">
        <v>40</v>
      </c>
      <c r="I296" s="257">
        <v>0</v>
      </c>
      <c r="J296" s="257">
        <f t="shared" si="470"/>
        <v>40</v>
      </c>
      <c r="K296" s="257">
        <v>0</v>
      </c>
      <c r="L296" s="257">
        <f>I296+J296</f>
        <v>40</v>
      </c>
      <c r="M296" s="257">
        <f>J296+K296</f>
        <v>40</v>
      </c>
      <c r="N296" s="257">
        <v>0</v>
      </c>
      <c r="O296" s="257">
        <f t="shared" si="473"/>
        <v>40</v>
      </c>
      <c r="P296" s="257">
        <f t="shared" ref="P296" si="484">M296+N296</f>
        <v>40</v>
      </c>
      <c r="Q296" s="257">
        <v>0</v>
      </c>
      <c r="R296" s="257">
        <f t="shared" si="365"/>
        <v>40</v>
      </c>
      <c r="S296" s="257">
        <v>310</v>
      </c>
      <c r="T296" s="257">
        <f t="shared" si="471"/>
        <v>350</v>
      </c>
      <c r="U296" s="257">
        <v>0</v>
      </c>
      <c r="V296" s="257">
        <v>350</v>
      </c>
      <c r="W296" s="257">
        <v>0</v>
      </c>
      <c r="X296" s="257">
        <v>50</v>
      </c>
      <c r="Y296" s="257">
        <v>-40</v>
      </c>
      <c r="Z296" s="257">
        <f t="shared" si="478"/>
        <v>10</v>
      </c>
    </row>
    <row r="297" spans="1:26" ht="12.75" customHeight="1" x14ac:dyDescent="0.2">
      <c r="A297" s="259" t="s">
        <v>400</v>
      </c>
      <c r="B297" s="252" t="s">
        <v>130</v>
      </c>
      <c r="C297" s="252" t="s">
        <v>202</v>
      </c>
      <c r="D297" s="252" t="s">
        <v>212</v>
      </c>
      <c r="E297" s="252" t="s">
        <v>846</v>
      </c>
      <c r="F297" s="252" t="s">
        <v>106</v>
      </c>
      <c r="G297" s="257"/>
      <c r="H297" s="257">
        <v>60</v>
      </c>
      <c r="I297" s="257">
        <v>0</v>
      </c>
      <c r="J297" s="257">
        <f t="shared" si="470"/>
        <v>60</v>
      </c>
      <c r="K297" s="257">
        <v>-0.15</v>
      </c>
      <c r="L297" s="257">
        <v>60</v>
      </c>
      <c r="M297" s="257">
        <v>60</v>
      </c>
      <c r="N297" s="257">
        <v>0</v>
      </c>
      <c r="O297" s="257">
        <f t="shared" si="473"/>
        <v>60</v>
      </c>
      <c r="P297" s="257">
        <v>60</v>
      </c>
      <c r="Q297" s="257">
        <v>0</v>
      </c>
      <c r="R297" s="257">
        <f t="shared" si="365"/>
        <v>60</v>
      </c>
      <c r="S297" s="257">
        <v>-30</v>
      </c>
      <c r="T297" s="257">
        <f t="shared" si="471"/>
        <v>30</v>
      </c>
      <c r="U297" s="257">
        <v>0</v>
      </c>
      <c r="V297" s="257">
        <v>30</v>
      </c>
      <c r="W297" s="257">
        <v>0</v>
      </c>
      <c r="X297" s="257">
        <v>60</v>
      </c>
      <c r="Y297" s="257">
        <v>40</v>
      </c>
      <c r="Z297" s="257">
        <f t="shared" si="478"/>
        <v>100</v>
      </c>
    </row>
    <row r="298" spans="1:26" ht="12.75" hidden="1" customHeight="1" x14ac:dyDescent="0.2">
      <c r="A298" s="259" t="s">
        <v>906</v>
      </c>
      <c r="B298" s="252" t="s">
        <v>130</v>
      </c>
      <c r="C298" s="252" t="s">
        <v>202</v>
      </c>
      <c r="D298" s="252" t="s">
        <v>212</v>
      </c>
      <c r="E298" s="252" t="s">
        <v>846</v>
      </c>
      <c r="F298" s="252" t="s">
        <v>905</v>
      </c>
      <c r="G298" s="257"/>
      <c r="H298" s="257">
        <v>60</v>
      </c>
      <c r="I298" s="257">
        <v>0</v>
      </c>
      <c r="J298" s="257">
        <v>0</v>
      </c>
      <c r="K298" s="257">
        <v>1.96</v>
      </c>
      <c r="L298" s="257">
        <v>0</v>
      </c>
      <c r="M298" s="257">
        <v>0</v>
      </c>
      <c r="N298" s="257">
        <v>0</v>
      </c>
      <c r="O298" s="257">
        <v>0</v>
      </c>
      <c r="P298" s="257">
        <v>0</v>
      </c>
      <c r="Q298" s="257">
        <v>0</v>
      </c>
      <c r="R298" s="257">
        <f t="shared" si="365"/>
        <v>0</v>
      </c>
      <c r="S298" s="257">
        <f t="shared" ref="S298" si="485">Q298+R298</f>
        <v>0</v>
      </c>
      <c r="T298" s="257">
        <f t="shared" si="471"/>
        <v>0</v>
      </c>
      <c r="U298" s="257">
        <f t="shared" ref="U298" si="486">S298+T298</f>
        <v>0</v>
      </c>
      <c r="V298" s="257">
        <f t="shared" ref="V298" si="487">T298+U298</f>
        <v>0</v>
      </c>
      <c r="W298" s="257">
        <f t="shared" ref="W298" si="488">U298+V298</f>
        <v>0</v>
      </c>
      <c r="X298" s="257">
        <f t="shared" ref="X298" si="489">V298+W298</f>
        <v>0</v>
      </c>
      <c r="Y298" s="257">
        <f t="shared" ref="Y298" si="490">W298+X298</f>
        <v>0</v>
      </c>
      <c r="Z298" s="257">
        <f t="shared" si="478"/>
        <v>0</v>
      </c>
    </row>
    <row r="299" spans="1:26" ht="12.75" customHeight="1" x14ac:dyDescent="0.2">
      <c r="A299" s="259" t="s">
        <v>1081</v>
      </c>
      <c r="B299" s="252" t="s">
        <v>130</v>
      </c>
      <c r="C299" s="252" t="s">
        <v>202</v>
      </c>
      <c r="D299" s="252" t="s">
        <v>212</v>
      </c>
      <c r="E299" s="252" t="s">
        <v>1082</v>
      </c>
      <c r="F299" s="252"/>
      <c r="G299" s="257">
        <f>G300</f>
        <v>0</v>
      </c>
      <c r="H299" s="257" t="e">
        <f>H300+H301+#REF!+#REF!</f>
        <v>#REF!</v>
      </c>
      <c r="I299" s="257" t="e">
        <f>I300+I301+#REF!+#REF!</f>
        <v>#REF!</v>
      </c>
      <c r="J299" s="257" t="e">
        <f>J300+J301+#REF!+#REF!</f>
        <v>#REF!</v>
      </c>
      <c r="K299" s="257" t="e">
        <f>K300+K301+#REF!+#REF!+K303</f>
        <v>#REF!</v>
      </c>
      <c r="L299" s="257">
        <f>L301+L303</f>
        <v>8618</v>
      </c>
      <c r="M299" s="257">
        <f>M301+M303</f>
        <v>8618</v>
      </c>
      <c r="N299" s="257">
        <f t="shared" ref="N299:Q299" si="491">N301+N303</f>
        <v>-45</v>
      </c>
      <c r="O299" s="257">
        <f t="shared" si="491"/>
        <v>8573</v>
      </c>
      <c r="P299" s="257">
        <f t="shared" si="491"/>
        <v>8573</v>
      </c>
      <c r="Q299" s="257">
        <f t="shared" si="491"/>
        <v>366.5</v>
      </c>
      <c r="R299" s="257">
        <f>R301+R302+R303+R304</f>
        <v>8939.5</v>
      </c>
      <c r="S299" s="257">
        <f t="shared" ref="S299:T299" si="492">S301+S302+S303+S304</f>
        <v>1039.5</v>
      </c>
      <c r="T299" s="257">
        <f t="shared" si="492"/>
        <v>9732.5</v>
      </c>
      <c r="U299" s="257">
        <f t="shared" ref="U299:V299" si="493">U301+U302+U303+U304</f>
        <v>1040.5999999999999</v>
      </c>
      <c r="V299" s="257">
        <f t="shared" si="493"/>
        <v>4798.5</v>
      </c>
      <c r="W299" s="257">
        <f t="shared" ref="W299:X299" si="494">W301+W302+W303+W304</f>
        <v>6916.9</v>
      </c>
      <c r="X299" s="257">
        <f t="shared" si="494"/>
        <v>4534.63</v>
      </c>
      <c r="Y299" s="257">
        <f t="shared" ref="Y299:Z299" si="495">Y301+Y302+Y303+Y304</f>
        <v>8191.2400000000007</v>
      </c>
      <c r="Z299" s="257">
        <f t="shared" si="495"/>
        <v>12725.87</v>
      </c>
    </row>
    <row r="300" spans="1:26" ht="12.75" hidden="1" customHeight="1" x14ac:dyDescent="0.2">
      <c r="A300" s="259" t="s">
        <v>95</v>
      </c>
      <c r="B300" s="252" t="s">
        <v>130</v>
      </c>
      <c r="C300" s="252" t="s">
        <v>202</v>
      </c>
      <c r="D300" s="252" t="s">
        <v>212</v>
      </c>
      <c r="E300" s="252" t="s">
        <v>847</v>
      </c>
      <c r="F300" s="252" t="s">
        <v>96</v>
      </c>
      <c r="G300" s="257"/>
      <c r="H300" s="257">
        <v>3083</v>
      </c>
      <c r="I300" s="257">
        <v>-3083</v>
      </c>
      <c r="J300" s="257">
        <f>H300+I300</f>
        <v>0</v>
      </c>
      <c r="K300" s="257">
        <v>0</v>
      </c>
      <c r="L300" s="257">
        <f>I300+J300</f>
        <v>-3083</v>
      </c>
      <c r="M300" s="257">
        <f>J300+K300</f>
        <v>0</v>
      </c>
      <c r="N300" s="257">
        <f t="shared" ref="N300:O300" si="496">K300+L300</f>
        <v>-3083</v>
      </c>
      <c r="O300" s="257">
        <f t="shared" si="496"/>
        <v>-3083</v>
      </c>
      <c r="P300" s="257">
        <f>M300+N300</f>
        <v>-3083</v>
      </c>
      <c r="Q300" s="257">
        <f t="shared" ref="Q300" si="497">N300+O300</f>
        <v>-6166</v>
      </c>
      <c r="R300" s="257">
        <f t="shared" si="365"/>
        <v>-9249</v>
      </c>
      <c r="S300" s="257">
        <f t="shared" ref="S300" si="498">Q300+R300</f>
        <v>-15415</v>
      </c>
      <c r="T300" s="257">
        <f t="shared" ref="T300:T304" si="499">R300+S300</f>
        <v>-24664</v>
      </c>
      <c r="U300" s="257">
        <f t="shared" ref="U300" si="500">S300+T300</f>
        <v>-40079</v>
      </c>
      <c r="V300" s="257">
        <f t="shared" ref="V300" si="501">T300+U300</f>
        <v>-64743</v>
      </c>
      <c r="W300" s="257">
        <f t="shared" ref="W300" si="502">U300+V300</f>
        <v>-104822</v>
      </c>
      <c r="X300" s="257">
        <f t="shared" ref="X300" si="503">V300+W300</f>
        <v>-169565</v>
      </c>
      <c r="Y300" s="257">
        <f t="shared" ref="Y300" si="504">W300+X300</f>
        <v>-274387</v>
      </c>
      <c r="Z300" s="257">
        <f t="shared" ref="Z300:Z304" si="505">X300+Y300</f>
        <v>-443952</v>
      </c>
    </row>
    <row r="301" spans="1:26" ht="18" customHeight="1" x14ac:dyDescent="0.2">
      <c r="A301" s="375" t="s">
        <v>897</v>
      </c>
      <c r="B301" s="252" t="s">
        <v>130</v>
      </c>
      <c r="C301" s="252" t="s">
        <v>202</v>
      </c>
      <c r="D301" s="252" t="s">
        <v>212</v>
      </c>
      <c r="E301" s="252" t="s">
        <v>1083</v>
      </c>
      <c r="F301" s="252" t="s">
        <v>832</v>
      </c>
      <c r="G301" s="257"/>
      <c r="H301" s="257">
        <v>5065</v>
      </c>
      <c r="I301" s="257">
        <v>-5065</v>
      </c>
      <c r="J301" s="257">
        <f>H301+I301</f>
        <v>0</v>
      </c>
      <c r="K301" s="257">
        <v>511.52</v>
      </c>
      <c r="L301" s="257">
        <v>4355</v>
      </c>
      <c r="M301" s="257">
        <v>4355</v>
      </c>
      <c r="N301" s="257">
        <v>-45</v>
      </c>
      <c r="O301" s="257">
        <f>M301+N301</f>
        <v>4310</v>
      </c>
      <c r="P301" s="257">
        <v>4310</v>
      </c>
      <c r="Q301" s="257">
        <v>0</v>
      </c>
      <c r="R301" s="257">
        <f t="shared" si="365"/>
        <v>4310</v>
      </c>
      <c r="S301" s="257">
        <f>-624.5+189.5</f>
        <v>-435</v>
      </c>
      <c r="T301" s="257">
        <v>3685.5</v>
      </c>
      <c r="U301" s="257">
        <f>-651.5+387</f>
        <v>-264.5</v>
      </c>
      <c r="V301" s="257">
        <v>3685.5</v>
      </c>
      <c r="W301" s="257">
        <v>-92.5</v>
      </c>
      <c r="X301" s="257">
        <v>3421</v>
      </c>
      <c r="Y301" s="257">
        <v>0</v>
      </c>
      <c r="Z301" s="257">
        <f t="shared" si="505"/>
        <v>3421</v>
      </c>
    </row>
    <row r="302" spans="1:26" ht="30" customHeight="1" x14ac:dyDescent="0.2">
      <c r="A302" s="375" t="s">
        <v>900</v>
      </c>
      <c r="B302" s="252" t="s">
        <v>130</v>
      </c>
      <c r="C302" s="252" t="s">
        <v>202</v>
      </c>
      <c r="D302" s="252" t="s">
        <v>212</v>
      </c>
      <c r="E302" s="252" t="s">
        <v>1083</v>
      </c>
      <c r="F302" s="252" t="s">
        <v>899</v>
      </c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>
        <v>0</v>
      </c>
      <c r="S302" s="257">
        <f>1113+57</f>
        <v>1170</v>
      </c>
      <c r="T302" s="257">
        <v>1113</v>
      </c>
      <c r="U302" s="257">
        <f>-196+116</f>
        <v>-80</v>
      </c>
      <c r="V302" s="257">
        <v>1113</v>
      </c>
      <c r="W302" s="257">
        <v>-28</v>
      </c>
      <c r="X302" s="257">
        <v>1113.6300000000001</v>
      </c>
      <c r="Y302" s="257">
        <v>0</v>
      </c>
      <c r="Z302" s="257">
        <f t="shared" si="505"/>
        <v>1113.6300000000001</v>
      </c>
    </row>
    <row r="303" spans="1:26" ht="16.5" customHeight="1" x14ac:dyDescent="0.2">
      <c r="A303" s="375" t="s">
        <v>897</v>
      </c>
      <c r="B303" s="252" t="s">
        <v>130</v>
      </c>
      <c r="C303" s="252" t="s">
        <v>202</v>
      </c>
      <c r="D303" s="252" t="s">
        <v>212</v>
      </c>
      <c r="E303" s="252" t="s">
        <v>1265</v>
      </c>
      <c r="F303" s="252" t="s">
        <v>832</v>
      </c>
      <c r="G303" s="257"/>
      <c r="H303" s="257">
        <v>5065</v>
      </c>
      <c r="I303" s="257">
        <v>-5065</v>
      </c>
      <c r="J303" s="257">
        <f>H303+I303</f>
        <v>0</v>
      </c>
      <c r="K303" s="257">
        <v>3928.3</v>
      </c>
      <c r="L303" s="257">
        <v>4263</v>
      </c>
      <c r="M303" s="257">
        <v>4263</v>
      </c>
      <c r="N303" s="257">
        <v>0</v>
      </c>
      <c r="O303" s="257">
        <f>M303+N303</f>
        <v>4263</v>
      </c>
      <c r="P303" s="257">
        <v>4263</v>
      </c>
      <c r="Q303" s="257">
        <v>366.5</v>
      </c>
      <c r="R303" s="257">
        <f t="shared" si="365"/>
        <v>4629.5</v>
      </c>
      <c r="S303" s="257">
        <v>-839.5</v>
      </c>
      <c r="T303" s="257">
        <f t="shared" si="499"/>
        <v>3790</v>
      </c>
      <c r="U303" s="257">
        <f>1019+43.8</f>
        <v>1062.8</v>
      </c>
      <c r="V303" s="257">
        <v>0</v>
      </c>
      <c r="W303" s="257">
        <v>5405</v>
      </c>
      <c r="X303" s="257">
        <v>0</v>
      </c>
      <c r="Y303" s="257">
        <v>6291.27</v>
      </c>
      <c r="Z303" s="257">
        <f t="shared" si="505"/>
        <v>6291.27</v>
      </c>
    </row>
    <row r="304" spans="1:26" ht="30" customHeight="1" x14ac:dyDescent="0.2">
      <c r="A304" s="375" t="s">
        <v>900</v>
      </c>
      <c r="B304" s="252" t="s">
        <v>130</v>
      </c>
      <c r="C304" s="252" t="s">
        <v>202</v>
      </c>
      <c r="D304" s="252" t="s">
        <v>212</v>
      </c>
      <c r="E304" s="252" t="s">
        <v>1265</v>
      </c>
      <c r="F304" s="252" t="s">
        <v>899</v>
      </c>
      <c r="G304" s="257"/>
      <c r="H304" s="257"/>
      <c r="I304" s="257"/>
      <c r="J304" s="257"/>
      <c r="K304" s="257"/>
      <c r="L304" s="257"/>
      <c r="M304" s="257"/>
      <c r="N304" s="257"/>
      <c r="O304" s="257"/>
      <c r="P304" s="257"/>
      <c r="Q304" s="257"/>
      <c r="R304" s="257">
        <v>0</v>
      </c>
      <c r="S304" s="257">
        <v>1144</v>
      </c>
      <c r="T304" s="257">
        <f t="shared" si="499"/>
        <v>1144</v>
      </c>
      <c r="U304" s="257">
        <f>309+13.3</f>
        <v>322.3</v>
      </c>
      <c r="V304" s="257">
        <v>0</v>
      </c>
      <c r="W304" s="257">
        <v>1632.4</v>
      </c>
      <c r="X304" s="257">
        <v>0</v>
      </c>
      <c r="Y304" s="257">
        <v>1899.97</v>
      </c>
      <c r="Z304" s="257">
        <f t="shared" si="505"/>
        <v>1899.97</v>
      </c>
    </row>
    <row r="305" spans="1:26" ht="30" customHeight="1" x14ac:dyDescent="0.2">
      <c r="A305" s="259" t="s">
        <v>1205</v>
      </c>
      <c r="B305" s="252" t="s">
        <v>130</v>
      </c>
      <c r="C305" s="252" t="s">
        <v>202</v>
      </c>
      <c r="D305" s="252" t="s">
        <v>212</v>
      </c>
      <c r="E305" s="251" t="s">
        <v>1277</v>
      </c>
      <c r="F305" s="252"/>
      <c r="G305" s="257" t="e">
        <f>G312</f>
        <v>#REF!</v>
      </c>
      <c r="H305" s="257">
        <f>H312</f>
        <v>1438.7</v>
      </c>
      <c r="I305" s="257">
        <f>I312</f>
        <v>0</v>
      </c>
      <c r="J305" s="257">
        <f t="shared" ref="J305" si="506">H305+I305</f>
        <v>1438.7</v>
      </c>
      <c r="K305" s="257" t="e">
        <f>#REF!+K312</f>
        <v>#REF!</v>
      </c>
      <c r="L305" s="257" t="e">
        <f>#REF!+L312</f>
        <v>#REF!</v>
      </c>
      <c r="M305" s="257" t="e">
        <f>#REF!+M312</f>
        <v>#REF!</v>
      </c>
      <c r="N305" s="257" t="e">
        <f>#REF!+N312</f>
        <v>#REF!</v>
      </c>
      <c r="O305" s="257" t="e">
        <f>#REF!+O312</f>
        <v>#REF!</v>
      </c>
      <c r="P305" s="257" t="e">
        <f>#REF!+P312</f>
        <v>#REF!</v>
      </c>
      <c r="Q305" s="257" t="e">
        <f>#REF!+Q312</f>
        <v>#REF!</v>
      </c>
      <c r="R305" s="257" t="e">
        <f>#REF!+R312</f>
        <v>#REF!</v>
      </c>
      <c r="S305" s="257" t="e">
        <f>#REF!+S312</f>
        <v>#REF!</v>
      </c>
      <c r="T305" s="257" t="e">
        <f>#REF!+T312</f>
        <v>#REF!</v>
      </c>
      <c r="U305" s="257" t="e">
        <f>#REF!+U312</f>
        <v>#REF!</v>
      </c>
      <c r="V305" s="257" t="e">
        <f>#REF!+V312</f>
        <v>#REF!</v>
      </c>
      <c r="W305" s="257" t="e">
        <f>#REF!+W312</f>
        <v>#REF!</v>
      </c>
      <c r="X305" s="257">
        <f>X306+X307</f>
        <v>0</v>
      </c>
      <c r="Y305" s="257">
        <f t="shared" ref="Y305:Z305" si="507">Y306+Y307</f>
        <v>3366.6</v>
      </c>
      <c r="Z305" s="257">
        <f t="shared" si="507"/>
        <v>3366.6</v>
      </c>
    </row>
    <row r="306" spans="1:26" ht="17.25" customHeight="1" x14ac:dyDescent="0.2">
      <c r="A306" s="259" t="s">
        <v>1276</v>
      </c>
      <c r="B306" s="252" t="s">
        <v>130</v>
      </c>
      <c r="C306" s="252" t="s">
        <v>392</v>
      </c>
      <c r="D306" s="252" t="s">
        <v>212</v>
      </c>
      <c r="E306" s="251" t="s">
        <v>1277</v>
      </c>
      <c r="F306" s="252" t="s">
        <v>137</v>
      </c>
      <c r="G306" s="257"/>
      <c r="H306" s="257">
        <v>1497</v>
      </c>
      <c r="I306" s="257">
        <v>0</v>
      </c>
      <c r="J306" s="257">
        <v>1497</v>
      </c>
      <c r="K306" s="257">
        <v>-503.89</v>
      </c>
      <c r="L306" s="257">
        <v>1472.6</v>
      </c>
      <c r="M306" s="257">
        <v>1472.6</v>
      </c>
      <c r="N306" s="257">
        <v>-67.7</v>
      </c>
      <c r="O306" s="257">
        <v>1404.8999999999999</v>
      </c>
      <c r="P306" s="257">
        <v>1404.9</v>
      </c>
      <c r="Q306" s="257">
        <v>4.3</v>
      </c>
      <c r="R306" s="257">
        <v>1409.2</v>
      </c>
      <c r="S306" s="257">
        <v>114.5</v>
      </c>
      <c r="T306" s="257">
        <v>1523.7</v>
      </c>
      <c r="U306" s="257">
        <v>0</v>
      </c>
      <c r="V306" s="257">
        <v>1523.7</v>
      </c>
      <c r="W306" s="257">
        <v>70.400000000000006</v>
      </c>
      <c r="X306" s="257">
        <v>0</v>
      </c>
      <c r="Y306" s="257">
        <v>30</v>
      </c>
      <c r="Z306" s="257">
        <f>X306+Y306</f>
        <v>30</v>
      </c>
    </row>
    <row r="307" spans="1:26" ht="18.75" customHeight="1" x14ac:dyDescent="0.2">
      <c r="A307" s="259" t="s">
        <v>93</v>
      </c>
      <c r="B307" s="252" t="s">
        <v>130</v>
      </c>
      <c r="C307" s="252" t="s">
        <v>392</v>
      </c>
      <c r="D307" s="252" t="s">
        <v>212</v>
      </c>
      <c r="E307" s="251" t="s">
        <v>1277</v>
      </c>
      <c r="F307" s="252" t="s">
        <v>94</v>
      </c>
      <c r="G307" s="257"/>
      <c r="H307" s="257">
        <v>1497</v>
      </c>
      <c r="I307" s="257">
        <v>0</v>
      </c>
      <c r="J307" s="257">
        <v>1497</v>
      </c>
      <c r="K307" s="257">
        <v>-503.89</v>
      </c>
      <c r="L307" s="257">
        <v>1472.6</v>
      </c>
      <c r="M307" s="257">
        <v>1472.6</v>
      </c>
      <c r="N307" s="257">
        <v>-67.7</v>
      </c>
      <c r="O307" s="257">
        <v>1404.8999999999999</v>
      </c>
      <c r="P307" s="257">
        <v>1404.9</v>
      </c>
      <c r="Q307" s="257">
        <v>4.3</v>
      </c>
      <c r="R307" s="257">
        <v>1409.2</v>
      </c>
      <c r="S307" s="257">
        <v>114.5</v>
      </c>
      <c r="T307" s="257">
        <v>1523.7</v>
      </c>
      <c r="U307" s="257">
        <v>0</v>
      </c>
      <c r="V307" s="257">
        <v>1523.7</v>
      </c>
      <c r="W307" s="257">
        <v>70.400000000000006</v>
      </c>
      <c r="X307" s="257">
        <v>0</v>
      </c>
      <c r="Y307" s="257">
        <v>3336.6</v>
      </c>
      <c r="Z307" s="257">
        <f>X307+Y307</f>
        <v>3336.6</v>
      </c>
    </row>
    <row r="308" spans="1:26" ht="18.75" customHeight="1" x14ac:dyDescent="0.2">
      <c r="A308" s="259" t="s">
        <v>754</v>
      </c>
      <c r="B308" s="252" t="s">
        <v>130</v>
      </c>
      <c r="C308" s="252" t="s">
        <v>202</v>
      </c>
      <c r="D308" s="252" t="s">
        <v>212</v>
      </c>
      <c r="E308" s="251" t="s">
        <v>753</v>
      </c>
      <c r="F308" s="252"/>
      <c r="G308" s="257"/>
      <c r="H308" s="257">
        <f>H313</f>
        <v>1438.7</v>
      </c>
      <c r="I308" s="257">
        <f>I313</f>
        <v>0</v>
      </c>
      <c r="J308" s="257">
        <f>H308+I308</f>
        <v>1438.7</v>
      </c>
      <c r="K308" s="257">
        <f t="shared" ref="K308:W308" si="508">K313+K309+K312</f>
        <v>-250</v>
      </c>
      <c r="L308" s="257">
        <f t="shared" si="508"/>
        <v>5882.4</v>
      </c>
      <c r="M308" s="257">
        <f t="shared" si="508"/>
        <v>5882.4</v>
      </c>
      <c r="N308" s="257">
        <f t="shared" si="508"/>
        <v>348.8</v>
      </c>
      <c r="O308" s="257">
        <f t="shared" si="508"/>
        <v>6231.2</v>
      </c>
      <c r="P308" s="257">
        <f t="shared" si="508"/>
        <v>6231.2</v>
      </c>
      <c r="Q308" s="257">
        <f t="shared" si="508"/>
        <v>-854</v>
      </c>
      <c r="R308" s="257">
        <f t="shared" si="508"/>
        <v>5377.2</v>
      </c>
      <c r="S308" s="257">
        <f t="shared" si="508"/>
        <v>-88.199999999999989</v>
      </c>
      <c r="T308" s="257">
        <f t="shared" si="508"/>
        <v>5489</v>
      </c>
      <c r="U308" s="257">
        <f t="shared" si="508"/>
        <v>-1300.2</v>
      </c>
      <c r="V308" s="257">
        <f t="shared" si="508"/>
        <v>4388.8</v>
      </c>
      <c r="W308" s="257">
        <f t="shared" si="508"/>
        <v>10.800000000000011</v>
      </c>
      <c r="X308" s="257">
        <f>X309</f>
        <v>0</v>
      </c>
      <c r="Y308" s="257">
        <f t="shared" ref="Y308:Z308" si="509">Y309</f>
        <v>184</v>
      </c>
      <c r="Z308" s="257">
        <f t="shared" si="509"/>
        <v>184</v>
      </c>
    </row>
    <row r="309" spans="1:26" ht="18.75" customHeight="1" x14ac:dyDescent="0.2">
      <c r="A309" s="259" t="s">
        <v>93</v>
      </c>
      <c r="B309" s="252" t="s">
        <v>130</v>
      </c>
      <c r="C309" s="252" t="s">
        <v>202</v>
      </c>
      <c r="D309" s="252" t="s">
        <v>212</v>
      </c>
      <c r="E309" s="251" t="s">
        <v>753</v>
      </c>
      <c r="F309" s="252" t="s">
        <v>94</v>
      </c>
      <c r="G309" s="257"/>
      <c r="H309" s="257">
        <v>500</v>
      </c>
      <c r="I309" s="257">
        <v>0</v>
      </c>
      <c r="J309" s="257">
        <f t="shared" ref="J309:J311" si="510">H309+I309</f>
        <v>500</v>
      </c>
      <c r="K309" s="257">
        <v>-250</v>
      </c>
      <c r="L309" s="257">
        <v>384</v>
      </c>
      <c r="M309" s="257">
        <v>384</v>
      </c>
      <c r="N309" s="257">
        <v>0</v>
      </c>
      <c r="O309" s="257">
        <f>M309+N309</f>
        <v>384</v>
      </c>
      <c r="P309" s="257">
        <v>384</v>
      </c>
      <c r="Q309" s="257">
        <v>0</v>
      </c>
      <c r="R309" s="257">
        <f t="shared" ref="R309" si="511">P309+Q309</f>
        <v>384</v>
      </c>
      <c r="S309" s="257">
        <v>-200</v>
      </c>
      <c r="T309" s="257">
        <v>384</v>
      </c>
      <c r="U309" s="257">
        <v>-200</v>
      </c>
      <c r="V309" s="257">
        <v>384</v>
      </c>
      <c r="W309" s="257">
        <v>-200</v>
      </c>
      <c r="X309" s="257">
        <v>0</v>
      </c>
      <c r="Y309" s="257">
        <v>184</v>
      </c>
      <c r="Z309" s="257">
        <f t="shared" ref="Z309" si="512">X309+Y309</f>
        <v>184</v>
      </c>
    </row>
    <row r="310" spans="1:26" ht="18.75" customHeight="1" x14ac:dyDescent="0.2">
      <c r="A310" s="259" t="s">
        <v>883</v>
      </c>
      <c r="B310" s="252" t="s">
        <v>130</v>
      </c>
      <c r="C310" s="252" t="s">
        <v>202</v>
      </c>
      <c r="D310" s="252" t="s">
        <v>212</v>
      </c>
      <c r="E310" s="251" t="s">
        <v>752</v>
      </c>
      <c r="F310" s="252"/>
      <c r="G310" s="257" t="e">
        <f>G311+#REF!</f>
        <v>#REF!</v>
      </c>
      <c r="H310" s="257">
        <f>H311</f>
        <v>220</v>
      </c>
      <c r="I310" s="257">
        <f>I311</f>
        <v>0</v>
      </c>
      <c r="J310" s="257">
        <f t="shared" si="510"/>
        <v>220</v>
      </c>
      <c r="K310" s="257">
        <f>K311</f>
        <v>0</v>
      </c>
      <c r="L310" s="257">
        <f>L311</f>
        <v>100</v>
      </c>
      <c r="M310" s="257">
        <f>M311</f>
        <v>100</v>
      </c>
      <c r="N310" s="257">
        <f t="shared" ref="N310:Z310" si="513">N311</f>
        <v>0</v>
      </c>
      <c r="O310" s="257">
        <f t="shared" si="513"/>
        <v>100</v>
      </c>
      <c r="P310" s="257">
        <f t="shared" si="513"/>
        <v>100</v>
      </c>
      <c r="Q310" s="257">
        <f t="shared" si="513"/>
        <v>0</v>
      </c>
      <c r="R310" s="257">
        <f t="shared" si="513"/>
        <v>100</v>
      </c>
      <c r="S310" s="257">
        <f t="shared" si="513"/>
        <v>-50</v>
      </c>
      <c r="T310" s="257">
        <f t="shared" si="513"/>
        <v>100</v>
      </c>
      <c r="U310" s="257">
        <f t="shared" si="513"/>
        <v>0</v>
      </c>
      <c r="V310" s="257">
        <f t="shared" si="513"/>
        <v>100</v>
      </c>
      <c r="W310" s="257">
        <f t="shared" si="513"/>
        <v>100</v>
      </c>
      <c r="X310" s="257">
        <f t="shared" si="513"/>
        <v>0</v>
      </c>
      <c r="Y310" s="257">
        <f t="shared" si="513"/>
        <v>100</v>
      </c>
      <c r="Z310" s="257">
        <f t="shared" si="513"/>
        <v>100</v>
      </c>
    </row>
    <row r="311" spans="1:26" ht="18.75" customHeight="1" x14ac:dyDescent="0.2">
      <c r="A311" s="259" t="s">
        <v>121</v>
      </c>
      <c r="B311" s="252" t="s">
        <v>130</v>
      </c>
      <c r="C311" s="252" t="s">
        <v>202</v>
      </c>
      <c r="D311" s="252" t="s">
        <v>212</v>
      </c>
      <c r="E311" s="251" t="s">
        <v>752</v>
      </c>
      <c r="F311" s="252" t="s">
        <v>94</v>
      </c>
      <c r="G311" s="257"/>
      <c r="H311" s="257">
        <v>220</v>
      </c>
      <c r="I311" s="257">
        <v>0</v>
      </c>
      <c r="J311" s="257">
        <f t="shared" si="510"/>
        <v>220</v>
      </c>
      <c r="K311" s="257">
        <v>0</v>
      </c>
      <c r="L311" s="257">
        <v>100</v>
      </c>
      <c r="M311" s="257">
        <v>100</v>
      </c>
      <c r="N311" s="257">
        <v>0</v>
      </c>
      <c r="O311" s="257">
        <f>M311+N311</f>
        <v>100</v>
      </c>
      <c r="P311" s="257">
        <v>100</v>
      </c>
      <c r="Q311" s="257">
        <v>0</v>
      </c>
      <c r="R311" s="257">
        <f t="shared" ref="R311" si="514">P311+Q311</f>
        <v>100</v>
      </c>
      <c r="S311" s="257">
        <v>-50</v>
      </c>
      <c r="T311" s="257">
        <v>100</v>
      </c>
      <c r="U311" s="257">
        <v>0</v>
      </c>
      <c r="V311" s="257">
        <v>100</v>
      </c>
      <c r="W311" s="257">
        <v>100</v>
      </c>
      <c r="X311" s="257">
        <v>0</v>
      </c>
      <c r="Y311" s="257">
        <v>100</v>
      </c>
      <c r="Z311" s="257">
        <f t="shared" ref="Z311" si="515">X311+Y311</f>
        <v>100</v>
      </c>
    </row>
    <row r="312" spans="1:26" s="430" customFormat="1" ht="15" customHeight="1" x14ac:dyDescent="0.2">
      <c r="A312" s="462" t="s">
        <v>65</v>
      </c>
      <c r="B312" s="250" t="s">
        <v>130</v>
      </c>
      <c r="C312" s="250">
        <v>10</v>
      </c>
      <c r="D312" s="250"/>
      <c r="E312" s="250"/>
      <c r="F312" s="250"/>
      <c r="G312" s="261" t="e">
        <f>#REF!+G313</f>
        <v>#REF!</v>
      </c>
      <c r="H312" s="261">
        <f t="shared" ref="H312:Y314" si="516">H313</f>
        <v>1438.7</v>
      </c>
      <c r="I312" s="261">
        <f t="shared" si="516"/>
        <v>0</v>
      </c>
      <c r="J312" s="261">
        <f t="shared" si="516"/>
        <v>1438.7</v>
      </c>
      <c r="K312" s="261">
        <f t="shared" si="516"/>
        <v>0</v>
      </c>
      <c r="L312" s="261">
        <f t="shared" si="516"/>
        <v>2749.2</v>
      </c>
      <c r="M312" s="261">
        <f t="shared" si="516"/>
        <v>2749.2</v>
      </c>
      <c r="N312" s="261">
        <f t="shared" si="516"/>
        <v>174.4</v>
      </c>
      <c r="O312" s="261">
        <f t="shared" si="516"/>
        <v>2923.6</v>
      </c>
      <c r="P312" s="261">
        <f t="shared" si="516"/>
        <v>2923.6</v>
      </c>
      <c r="Q312" s="261">
        <f t="shared" si="516"/>
        <v>-427</v>
      </c>
      <c r="R312" s="261">
        <f t="shared" si="516"/>
        <v>2496.6</v>
      </c>
      <c r="S312" s="261">
        <f t="shared" si="516"/>
        <v>55.9</v>
      </c>
      <c r="T312" s="261">
        <f t="shared" si="516"/>
        <v>2552.5</v>
      </c>
      <c r="U312" s="261">
        <f t="shared" si="516"/>
        <v>-550.1</v>
      </c>
      <c r="V312" s="261">
        <f t="shared" si="516"/>
        <v>2002.4</v>
      </c>
      <c r="W312" s="261">
        <f t="shared" si="516"/>
        <v>105.4</v>
      </c>
      <c r="X312" s="261">
        <f t="shared" ref="W312:Z314" si="517">X313</f>
        <v>6295.1</v>
      </c>
      <c r="Y312" s="261">
        <f t="shared" si="516"/>
        <v>-1634.1999999999998</v>
      </c>
      <c r="Z312" s="261">
        <f t="shared" si="517"/>
        <v>4660.9000000000005</v>
      </c>
    </row>
    <row r="313" spans="1:26" ht="17.25" customHeight="1" x14ac:dyDescent="0.2">
      <c r="A313" s="462" t="s">
        <v>278</v>
      </c>
      <c r="B313" s="250" t="s">
        <v>130</v>
      </c>
      <c r="C313" s="250">
        <v>10</v>
      </c>
      <c r="D313" s="250" t="s">
        <v>196</v>
      </c>
      <c r="E313" s="250"/>
      <c r="F313" s="250"/>
      <c r="G313" s="262" t="e">
        <f>#REF!+G314</f>
        <v>#REF!</v>
      </c>
      <c r="H313" s="261">
        <f t="shared" si="516"/>
        <v>1438.7</v>
      </c>
      <c r="I313" s="261">
        <f t="shared" si="516"/>
        <v>0</v>
      </c>
      <c r="J313" s="261">
        <f t="shared" si="516"/>
        <v>1438.7</v>
      </c>
      <c r="K313" s="261">
        <f t="shared" si="516"/>
        <v>0</v>
      </c>
      <c r="L313" s="261">
        <f t="shared" si="516"/>
        <v>2749.2</v>
      </c>
      <c r="M313" s="261">
        <f t="shared" si="516"/>
        <v>2749.2</v>
      </c>
      <c r="N313" s="261">
        <f t="shared" si="516"/>
        <v>174.4</v>
      </c>
      <c r="O313" s="261">
        <f t="shared" si="516"/>
        <v>2923.6</v>
      </c>
      <c r="P313" s="261">
        <f t="shared" si="516"/>
        <v>2923.6</v>
      </c>
      <c r="Q313" s="261">
        <f t="shared" si="516"/>
        <v>-427</v>
      </c>
      <c r="R313" s="261">
        <f t="shared" si="516"/>
        <v>2496.6</v>
      </c>
      <c r="S313" s="261">
        <f t="shared" si="516"/>
        <v>55.9</v>
      </c>
      <c r="T313" s="261">
        <f t="shared" si="516"/>
        <v>2552.5</v>
      </c>
      <c r="U313" s="261">
        <f t="shared" si="516"/>
        <v>-550.1</v>
      </c>
      <c r="V313" s="261">
        <f t="shared" si="516"/>
        <v>2002.4</v>
      </c>
      <c r="W313" s="261">
        <f t="shared" si="517"/>
        <v>105.4</v>
      </c>
      <c r="X313" s="261">
        <f t="shared" si="517"/>
        <v>6295.1</v>
      </c>
      <c r="Y313" s="261">
        <f t="shared" si="517"/>
        <v>-1634.1999999999998</v>
      </c>
      <c r="Z313" s="261">
        <f t="shared" si="517"/>
        <v>4660.9000000000005</v>
      </c>
    </row>
    <row r="314" spans="1:26" ht="51.75" customHeight="1" x14ac:dyDescent="0.2">
      <c r="A314" s="259" t="s">
        <v>938</v>
      </c>
      <c r="B314" s="252" t="s">
        <v>130</v>
      </c>
      <c r="C314" s="252" t="s">
        <v>214</v>
      </c>
      <c r="D314" s="252" t="s">
        <v>196</v>
      </c>
      <c r="E314" s="252" t="s">
        <v>1262</v>
      </c>
      <c r="F314" s="252"/>
      <c r="G314" s="257"/>
      <c r="H314" s="257">
        <f>H315</f>
        <v>1438.7</v>
      </c>
      <c r="I314" s="257">
        <f>I315</f>
        <v>0</v>
      </c>
      <c r="J314" s="257">
        <f>H314+I314</f>
        <v>1438.7</v>
      </c>
      <c r="K314" s="257">
        <f>K315</f>
        <v>0</v>
      </c>
      <c r="L314" s="257">
        <f>L315</f>
        <v>2749.2</v>
      </c>
      <c r="M314" s="257">
        <f>M315</f>
        <v>2749.2</v>
      </c>
      <c r="N314" s="257">
        <f t="shared" si="516"/>
        <v>174.4</v>
      </c>
      <c r="O314" s="257">
        <f t="shared" si="516"/>
        <v>2923.6</v>
      </c>
      <c r="P314" s="257">
        <f t="shared" si="516"/>
        <v>2923.6</v>
      </c>
      <c r="Q314" s="257">
        <f t="shared" si="516"/>
        <v>-427</v>
      </c>
      <c r="R314" s="257">
        <f t="shared" si="516"/>
        <v>2496.6</v>
      </c>
      <c r="S314" s="257">
        <f t="shared" si="516"/>
        <v>55.9</v>
      </c>
      <c r="T314" s="257">
        <f t="shared" si="516"/>
        <v>2552.5</v>
      </c>
      <c r="U314" s="257">
        <f t="shared" si="516"/>
        <v>-550.1</v>
      </c>
      <c r="V314" s="257">
        <f t="shared" si="516"/>
        <v>2002.4</v>
      </c>
      <c r="W314" s="257">
        <f t="shared" si="517"/>
        <v>105.4</v>
      </c>
      <c r="X314" s="257">
        <f>X315+X316</f>
        <v>6295.1</v>
      </c>
      <c r="Y314" s="257">
        <f t="shared" ref="Y314:Z314" si="518">Y315+Y316</f>
        <v>-1634.1999999999998</v>
      </c>
      <c r="Z314" s="257">
        <f t="shared" si="518"/>
        <v>4660.9000000000005</v>
      </c>
    </row>
    <row r="315" spans="1:26" ht="20.25" customHeight="1" x14ac:dyDescent="0.2">
      <c r="A315" s="259" t="s">
        <v>136</v>
      </c>
      <c r="B315" s="252" t="s">
        <v>130</v>
      </c>
      <c r="C315" s="252" t="s">
        <v>214</v>
      </c>
      <c r="D315" s="252" t="s">
        <v>196</v>
      </c>
      <c r="E315" s="252" t="s">
        <v>939</v>
      </c>
      <c r="F315" s="252" t="s">
        <v>137</v>
      </c>
      <c r="G315" s="257"/>
      <c r="H315" s="257">
        <v>1438.7</v>
      </c>
      <c r="I315" s="257">
        <v>0</v>
      </c>
      <c r="J315" s="257">
        <f>H315+I315</f>
        <v>1438.7</v>
      </c>
      <c r="K315" s="257">
        <v>0</v>
      </c>
      <c r="L315" s="257">
        <v>2749.2</v>
      </c>
      <c r="M315" s="257">
        <v>2749.2</v>
      </c>
      <c r="N315" s="257">
        <v>174.4</v>
      </c>
      <c r="O315" s="257">
        <f>M315+N315</f>
        <v>2923.6</v>
      </c>
      <c r="P315" s="257">
        <v>2923.6</v>
      </c>
      <c r="Q315" s="257">
        <v>-427</v>
      </c>
      <c r="R315" s="257">
        <f t="shared" ref="R315" si="519">P315+Q315</f>
        <v>2496.6</v>
      </c>
      <c r="S315" s="257">
        <v>55.9</v>
      </c>
      <c r="T315" s="257">
        <f t="shared" ref="T315" si="520">R315+S315</f>
        <v>2552.5</v>
      </c>
      <c r="U315" s="257">
        <v>-550.1</v>
      </c>
      <c r="V315" s="257">
        <v>2002.4</v>
      </c>
      <c r="W315" s="257">
        <v>105.4</v>
      </c>
      <c r="X315" s="257">
        <v>6295.1</v>
      </c>
      <c r="Y315" s="257">
        <v>-6295.1</v>
      </c>
      <c r="Z315" s="257">
        <f t="shared" ref="Z315" si="521">X315+Y315</f>
        <v>0</v>
      </c>
    </row>
    <row r="316" spans="1:26" ht="20.25" customHeight="1" x14ac:dyDescent="0.2">
      <c r="A316" s="259" t="s">
        <v>136</v>
      </c>
      <c r="B316" s="252" t="s">
        <v>130</v>
      </c>
      <c r="C316" s="252" t="s">
        <v>214</v>
      </c>
      <c r="D316" s="252" t="s">
        <v>196</v>
      </c>
      <c r="E316" s="252" t="s">
        <v>1262</v>
      </c>
      <c r="F316" s="252" t="s">
        <v>137</v>
      </c>
      <c r="G316" s="257"/>
      <c r="H316" s="257">
        <v>1438.7</v>
      </c>
      <c r="I316" s="257">
        <v>0</v>
      </c>
      <c r="J316" s="257">
        <f>H316+I316</f>
        <v>1438.7</v>
      </c>
      <c r="K316" s="257">
        <v>0</v>
      </c>
      <c r="L316" s="257">
        <v>2749.2</v>
      </c>
      <c r="M316" s="257">
        <v>2749.2</v>
      </c>
      <c r="N316" s="257">
        <v>174.4</v>
      </c>
      <c r="O316" s="257">
        <f>M316+N316</f>
        <v>2923.6</v>
      </c>
      <c r="P316" s="257">
        <v>2923.6</v>
      </c>
      <c r="Q316" s="257">
        <v>-427</v>
      </c>
      <c r="R316" s="257">
        <f t="shared" ref="R316" si="522">P316+Q316</f>
        <v>2496.6</v>
      </c>
      <c r="S316" s="257">
        <v>55.9</v>
      </c>
      <c r="T316" s="257">
        <f t="shared" ref="T316" si="523">R316+S316</f>
        <v>2552.5</v>
      </c>
      <c r="U316" s="257">
        <v>-550.1</v>
      </c>
      <c r="V316" s="257">
        <v>2002.4</v>
      </c>
      <c r="W316" s="257">
        <v>105.4</v>
      </c>
      <c r="X316" s="257">
        <v>0</v>
      </c>
      <c r="Y316" s="257">
        <v>4660.9000000000005</v>
      </c>
      <c r="Z316" s="257">
        <f t="shared" ref="Z316" si="524">X316+Y316</f>
        <v>4660.9000000000005</v>
      </c>
    </row>
    <row r="317" spans="1:26" s="430" customFormat="1" ht="14.25" x14ac:dyDescent="0.2">
      <c r="A317" s="462" t="s">
        <v>271</v>
      </c>
      <c r="B317" s="250" t="s">
        <v>130</v>
      </c>
      <c r="C317" s="250" t="s">
        <v>204</v>
      </c>
      <c r="D317" s="250"/>
      <c r="E317" s="249"/>
      <c r="F317" s="249"/>
      <c r="G317" s="275"/>
      <c r="H317" s="275"/>
      <c r="I317" s="275" t="e">
        <f>I318</f>
        <v>#REF!</v>
      </c>
      <c r="J317" s="275" t="e">
        <f>J318</f>
        <v>#REF!</v>
      </c>
      <c r="K317" s="275" t="e">
        <f>K318</f>
        <v>#REF!</v>
      </c>
      <c r="L317" s="275" t="e">
        <f>L318</f>
        <v>#REF!</v>
      </c>
      <c r="M317" s="275" t="e">
        <f>M318</f>
        <v>#REF!</v>
      </c>
      <c r="N317" s="275" t="e">
        <f t="shared" ref="N317:W317" si="525">N318</f>
        <v>#REF!</v>
      </c>
      <c r="O317" s="275" t="e">
        <f t="shared" si="525"/>
        <v>#REF!</v>
      </c>
      <c r="P317" s="275" t="e">
        <f t="shared" si="525"/>
        <v>#REF!</v>
      </c>
      <c r="Q317" s="275" t="e">
        <f t="shared" si="525"/>
        <v>#REF!</v>
      </c>
      <c r="R317" s="275" t="e">
        <f t="shared" si="525"/>
        <v>#REF!</v>
      </c>
      <c r="S317" s="275" t="e">
        <f t="shared" si="525"/>
        <v>#REF!</v>
      </c>
      <c r="T317" s="275" t="e">
        <f t="shared" si="525"/>
        <v>#REF!</v>
      </c>
      <c r="U317" s="275" t="e">
        <f t="shared" si="525"/>
        <v>#REF!</v>
      </c>
      <c r="V317" s="275" t="e">
        <f t="shared" si="525"/>
        <v>#REF!</v>
      </c>
      <c r="W317" s="275" t="e">
        <f t="shared" si="525"/>
        <v>#REF!</v>
      </c>
      <c r="X317" s="275">
        <f>X318</f>
        <v>0</v>
      </c>
      <c r="Y317" s="275">
        <f t="shared" ref="Y317:Z317" si="526">Y318</f>
        <v>30672.47</v>
      </c>
      <c r="Z317" s="275">
        <f t="shared" si="526"/>
        <v>30672.47</v>
      </c>
    </row>
    <row r="318" spans="1:26" x14ac:dyDescent="0.2">
      <c r="A318" s="462" t="s">
        <v>143</v>
      </c>
      <c r="B318" s="250" t="s">
        <v>130</v>
      </c>
      <c r="C318" s="250" t="s">
        <v>204</v>
      </c>
      <c r="D318" s="250" t="s">
        <v>194</v>
      </c>
      <c r="E318" s="249"/>
      <c r="F318" s="249"/>
      <c r="G318" s="262" t="e">
        <f>G331+#REF!</f>
        <v>#REF!</v>
      </c>
      <c r="H318" s="262"/>
      <c r="I318" s="262" t="e">
        <f>I331+#REF!</f>
        <v>#REF!</v>
      </c>
      <c r="J318" s="262" t="e">
        <f>J331+#REF!</f>
        <v>#REF!</v>
      </c>
      <c r="K318" s="262" t="e">
        <f>K331+#REF!</f>
        <v>#REF!</v>
      </c>
      <c r="L318" s="262" t="e">
        <f>L331+#REF!</f>
        <v>#REF!</v>
      </c>
      <c r="M318" s="262" t="e">
        <f>M331+#REF!</f>
        <v>#REF!</v>
      </c>
      <c r="N318" s="262" t="e">
        <f>N331+#REF!</f>
        <v>#REF!</v>
      </c>
      <c r="O318" s="262" t="e">
        <f>O331+#REF!</f>
        <v>#REF!</v>
      </c>
      <c r="P318" s="262" t="e">
        <f>P331+#REF!</f>
        <v>#REF!</v>
      </c>
      <c r="Q318" s="262" t="e">
        <f>Q331+#REF!</f>
        <v>#REF!</v>
      </c>
      <c r="R318" s="262" t="e">
        <f>R331+#REF!</f>
        <v>#REF!</v>
      </c>
      <c r="S318" s="262" t="e">
        <f>S331+#REF!</f>
        <v>#REF!</v>
      </c>
      <c r="T318" s="262" t="e">
        <f>T331+#REF!</f>
        <v>#REF!</v>
      </c>
      <c r="U318" s="262" t="e">
        <f>U331+#REF!</f>
        <v>#REF!</v>
      </c>
      <c r="V318" s="262" t="e">
        <f>V331+#REF!</f>
        <v>#REF!</v>
      </c>
      <c r="W318" s="262" t="e">
        <f>W331+#REF!</f>
        <v>#REF!</v>
      </c>
      <c r="X318" s="262">
        <f xml:space="preserve"> X319</f>
        <v>0</v>
      </c>
      <c r="Y318" s="262">
        <f t="shared" ref="Y318:Z318" si="527" xml:space="preserve"> Y319</f>
        <v>30672.47</v>
      </c>
      <c r="Z318" s="262">
        <f t="shared" si="527"/>
        <v>30672.47</v>
      </c>
    </row>
    <row r="319" spans="1:26" x14ac:dyDescent="0.2">
      <c r="A319" s="462" t="s">
        <v>1076</v>
      </c>
      <c r="B319" s="250" t="s">
        <v>130</v>
      </c>
      <c r="C319" s="250" t="s">
        <v>204</v>
      </c>
      <c r="D319" s="250" t="s">
        <v>194</v>
      </c>
      <c r="E319" s="253" t="s">
        <v>781</v>
      </c>
      <c r="F319" s="252"/>
      <c r="G319" s="257"/>
      <c r="H319" s="257">
        <f t="shared" ref="H319:Q319" si="528">H320+H327</f>
        <v>0</v>
      </c>
      <c r="I319" s="257">
        <f t="shared" si="528"/>
        <v>14733</v>
      </c>
      <c r="J319" s="257">
        <f t="shared" si="528"/>
        <v>14733</v>
      </c>
      <c r="K319" s="257">
        <f t="shared" si="528"/>
        <v>1338.38</v>
      </c>
      <c r="L319" s="257">
        <f t="shared" si="528"/>
        <v>15810</v>
      </c>
      <c r="M319" s="257">
        <f t="shared" si="528"/>
        <v>15810</v>
      </c>
      <c r="N319" s="257">
        <f t="shared" si="528"/>
        <v>-1720</v>
      </c>
      <c r="O319" s="257">
        <f t="shared" si="528"/>
        <v>14090</v>
      </c>
      <c r="P319" s="257">
        <f t="shared" si="528"/>
        <v>14090</v>
      </c>
      <c r="Q319" s="257">
        <f t="shared" si="528"/>
        <v>0</v>
      </c>
      <c r="R319" s="257" t="e">
        <f>R320+#REF!+R325+R327</f>
        <v>#REF!</v>
      </c>
      <c r="S319" s="257" t="e">
        <f>S320+#REF!+S325+S327</f>
        <v>#REF!</v>
      </c>
      <c r="T319" s="257" t="e">
        <f>T320+#REF!+T325+T327</f>
        <v>#REF!</v>
      </c>
      <c r="U319" s="257" t="e">
        <f>U320+#REF!+U325+U327</f>
        <v>#REF!</v>
      </c>
      <c r="V319" s="257" t="e">
        <f>V320+#REF!+V325+V327</f>
        <v>#REF!</v>
      </c>
      <c r="W319" s="257" t="e">
        <f>W320+#REF!+W325+W327</f>
        <v>#REF!</v>
      </c>
      <c r="X319" s="257">
        <f>X320+X321+X322+X325+X326+X327</f>
        <v>0</v>
      </c>
      <c r="Y319" s="257">
        <f t="shared" ref="Y319:Z319" si="529">Y320+Y321+Y322+Y325+Y326+Y327</f>
        <v>30672.47</v>
      </c>
      <c r="Z319" s="257">
        <f t="shared" si="529"/>
        <v>30672.47</v>
      </c>
    </row>
    <row r="320" spans="1:26" ht="30" x14ac:dyDescent="0.2">
      <c r="A320" s="259" t="s">
        <v>76</v>
      </c>
      <c r="B320" s="252" t="s">
        <v>130</v>
      </c>
      <c r="C320" s="252" t="s">
        <v>204</v>
      </c>
      <c r="D320" s="252" t="s">
        <v>194</v>
      </c>
      <c r="E320" s="251" t="s">
        <v>781</v>
      </c>
      <c r="F320" s="252" t="s">
        <v>77</v>
      </c>
      <c r="G320" s="257"/>
      <c r="H320" s="257">
        <v>0</v>
      </c>
      <c r="I320" s="257">
        <v>14013</v>
      </c>
      <c r="J320" s="257">
        <f>H320+I320</f>
        <v>14013</v>
      </c>
      <c r="K320" s="257">
        <v>1338.38</v>
      </c>
      <c r="L320" s="257">
        <f>12090+3000</f>
        <v>15090</v>
      </c>
      <c r="M320" s="257">
        <f>12090+3000</f>
        <v>15090</v>
      </c>
      <c r="N320" s="257">
        <v>-1700</v>
      </c>
      <c r="O320" s="257">
        <f>M320+N320</f>
        <v>13390</v>
      </c>
      <c r="P320" s="257">
        <v>13390</v>
      </c>
      <c r="Q320" s="257">
        <v>0</v>
      </c>
      <c r="R320" s="257">
        <f>P320+Q320</f>
        <v>13390</v>
      </c>
      <c r="S320" s="257">
        <f>879-1348-2952+941</f>
        <v>-2480</v>
      </c>
      <c r="T320" s="257">
        <v>14269</v>
      </c>
      <c r="U320" s="257">
        <f>-481-4655.2+575</f>
        <v>-4561.2</v>
      </c>
      <c r="V320" s="257">
        <v>14269</v>
      </c>
      <c r="W320" s="257">
        <v>3750</v>
      </c>
      <c r="X320" s="257">
        <v>0</v>
      </c>
      <c r="Y320" s="257">
        <f>13868+10317</f>
        <v>24185</v>
      </c>
      <c r="Z320" s="257">
        <f t="shared" ref="Z320:Z321" si="530">X320+Y320</f>
        <v>24185</v>
      </c>
    </row>
    <row r="321" spans="1:26" ht="30" x14ac:dyDescent="0.2">
      <c r="A321" s="259" t="s">
        <v>76</v>
      </c>
      <c r="B321" s="252" t="s">
        <v>130</v>
      </c>
      <c r="C321" s="252" t="s">
        <v>204</v>
      </c>
      <c r="D321" s="252" t="s">
        <v>194</v>
      </c>
      <c r="E321" s="251" t="s">
        <v>1256</v>
      </c>
      <c r="F321" s="252" t="s">
        <v>77</v>
      </c>
      <c r="G321" s="257"/>
      <c r="H321" s="257"/>
      <c r="I321" s="257"/>
      <c r="J321" s="257"/>
      <c r="K321" s="257"/>
      <c r="L321" s="257"/>
      <c r="M321" s="257"/>
      <c r="N321" s="257"/>
      <c r="O321" s="257"/>
      <c r="P321" s="257"/>
      <c r="Q321" s="257"/>
      <c r="R321" s="257">
        <v>0</v>
      </c>
      <c r="S321" s="257">
        <f>4160</f>
        <v>4160</v>
      </c>
      <c r="T321" s="257">
        <f t="shared" ref="T321" si="531">R321+S321</f>
        <v>4160</v>
      </c>
      <c r="U321" s="257">
        <v>0</v>
      </c>
      <c r="V321" s="257">
        <v>0</v>
      </c>
      <c r="W321" s="257">
        <v>2000</v>
      </c>
      <c r="X321" s="257">
        <v>0</v>
      </c>
      <c r="Y321" s="257">
        <v>4000</v>
      </c>
      <c r="Z321" s="257">
        <f t="shared" si="530"/>
        <v>4000</v>
      </c>
    </row>
    <row r="322" spans="1:26" ht="30" x14ac:dyDescent="0.2">
      <c r="A322" s="259" t="s">
        <v>1242</v>
      </c>
      <c r="B322" s="252" t="s">
        <v>130</v>
      </c>
      <c r="C322" s="252" t="s">
        <v>204</v>
      </c>
      <c r="D322" s="252" t="s">
        <v>194</v>
      </c>
      <c r="E322" s="251" t="s">
        <v>1245</v>
      </c>
      <c r="F322" s="252"/>
      <c r="G322" s="257"/>
      <c r="H322" s="257">
        <v>100</v>
      </c>
      <c r="I322" s="257">
        <v>0</v>
      </c>
      <c r="J322" s="257">
        <f>H322+I322</f>
        <v>100</v>
      </c>
      <c r="K322" s="257">
        <v>0</v>
      </c>
      <c r="L322" s="257">
        <v>100</v>
      </c>
      <c r="M322" s="257">
        <v>100</v>
      </c>
      <c r="N322" s="257">
        <v>0</v>
      </c>
      <c r="O322" s="257">
        <f t="shared" ref="O322" si="532">M322+N322</f>
        <v>100</v>
      </c>
      <c r="P322" s="257">
        <v>100</v>
      </c>
      <c r="Q322" s="257">
        <v>0</v>
      </c>
      <c r="R322" s="257">
        <f>R323+R324</f>
        <v>0</v>
      </c>
      <c r="S322" s="257">
        <f t="shared" ref="S322" si="533">S323+S324</f>
        <v>647.5</v>
      </c>
      <c r="T322" s="257">
        <f>T323+T324</f>
        <v>647.5</v>
      </c>
      <c r="U322" s="257">
        <f t="shared" ref="U322" si="534">U323+U324</f>
        <v>-446.39</v>
      </c>
      <c r="V322" s="257">
        <f>V323+V324</f>
        <v>647.5</v>
      </c>
      <c r="W322" s="257">
        <f t="shared" ref="W322" si="535">W323+W324</f>
        <v>-28.209999999999997</v>
      </c>
      <c r="X322" s="257">
        <f>X323+X324</f>
        <v>0</v>
      </c>
      <c r="Y322" s="257">
        <f t="shared" ref="Y322" si="536">Y323+Y324</f>
        <v>137.47</v>
      </c>
      <c r="Z322" s="257">
        <f>Z323+Z324</f>
        <v>137.47</v>
      </c>
    </row>
    <row r="323" spans="1:26" x14ac:dyDescent="0.2">
      <c r="A323" s="259" t="s">
        <v>78</v>
      </c>
      <c r="B323" s="252" t="s">
        <v>130</v>
      </c>
      <c r="C323" s="252" t="s">
        <v>204</v>
      </c>
      <c r="D323" s="252" t="s">
        <v>194</v>
      </c>
      <c r="E323" s="251" t="s">
        <v>1245</v>
      </c>
      <c r="F323" s="252" t="s">
        <v>77</v>
      </c>
      <c r="G323" s="257"/>
      <c r="H323" s="257"/>
      <c r="I323" s="257"/>
      <c r="J323" s="257"/>
      <c r="K323" s="257"/>
      <c r="L323" s="257"/>
      <c r="M323" s="257"/>
      <c r="N323" s="257"/>
      <c r="O323" s="257"/>
      <c r="P323" s="257"/>
      <c r="Q323" s="257"/>
      <c r="R323" s="257">
        <v>0</v>
      </c>
      <c r="S323" s="257">
        <v>641</v>
      </c>
      <c r="T323" s="257">
        <f t="shared" ref="T323:T324" si="537">R323+S323</f>
        <v>641</v>
      </c>
      <c r="U323" s="257">
        <v>-441.9</v>
      </c>
      <c r="V323" s="257">
        <v>641</v>
      </c>
      <c r="W323" s="257">
        <v>-27.9</v>
      </c>
      <c r="X323" s="257">
        <v>0</v>
      </c>
      <c r="Y323" s="257">
        <v>136.1</v>
      </c>
      <c r="Z323" s="257">
        <f t="shared" ref="Z323:Z325" si="538">X323+Y323</f>
        <v>136.1</v>
      </c>
    </row>
    <row r="324" spans="1:26" x14ac:dyDescent="0.2">
      <c r="A324" s="259" t="s">
        <v>1069</v>
      </c>
      <c r="B324" s="252" t="s">
        <v>130</v>
      </c>
      <c r="C324" s="252" t="s">
        <v>204</v>
      </c>
      <c r="D324" s="252" t="s">
        <v>194</v>
      </c>
      <c r="E324" s="251" t="s">
        <v>1245</v>
      </c>
      <c r="F324" s="252" t="s">
        <v>77</v>
      </c>
      <c r="G324" s="257"/>
      <c r="H324" s="257">
        <v>100</v>
      </c>
      <c r="I324" s="257">
        <v>0</v>
      </c>
      <c r="J324" s="257">
        <f>H324+I324</f>
        <v>100</v>
      </c>
      <c r="K324" s="257">
        <v>0</v>
      </c>
      <c r="L324" s="257">
        <v>100</v>
      </c>
      <c r="M324" s="257">
        <v>100</v>
      </c>
      <c r="N324" s="257">
        <v>0</v>
      </c>
      <c r="O324" s="257">
        <f t="shared" ref="O324" si="539">M324+N324</f>
        <v>100</v>
      </c>
      <c r="P324" s="257">
        <v>100</v>
      </c>
      <c r="Q324" s="257">
        <v>0</v>
      </c>
      <c r="R324" s="257">
        <v>0</v>
      </c>
      <c r="S324" s="257">
        <v>6.5</v>
      </c>
      <c r="T324" s="257">
        <f t="shared" si="537"/>
        <v>6.5</v>
      </c>
      <c r="U324" s="257">
        <v>-4.49</v>
      </c>
      <c r="V324" s="257">
        <v>6.5</v>
      </c>
      <c r="W324" s="257">
        <v>-0.31</v>
      </c>
      <c r="X324" s="257">
        <v>0</v>
      </c>
      <c r="Y324" s="257">
        <v>1.37</v>
      </c>
      <c r="Z324" s="257">
        <f t="shared" si="538"/>
        <v>1.37</v>
      </c>
    </row>
    <row r="325" spans="1:26" ht="30" x14ac:dyDescent="0.2">
      <c r="A325" s="259" t="s">
        <v>76</v>
      </c>
      <c r="B325" s="252" t="s">
        <v>130</v>
      </c>
      <c r="C325" s="252" t="s">
        <v>204</v>
      </c>
      <c r="D325" s="252" t="s">
        <v>194</v>
      </c>
      <c r="E325" s="251" t="s">
        <v>1078</v>
      </c>
      <c r="F325" s="252" t="s">
        <v>77</v>
      </c>
      <c r="G325" s="257"/>
      <c r="H325" s="257"/>
      <c r="I325" s="257"/>
      <c r="J325" s="257"/>
      <c r="K325" s="257"/>
      <c r="L325" s="257"/>
      <c r="M325" s="257"/>
      <c r="N325" s="257"/>
      <c r="O325" s="257"/>
      <c r="P325" s="257"/>
      <c r="Q325" s="257"/>
      <c r="R325" s="257">
        <v>0</v>
      </c>
      <c r="S325" s="257">
        <v>1620</v>
      </c>
      <c r="T325" s="257">
        <v>0</v>
      </c>
      <c r="U325" s="257">
        <v>1620</v>
      </c>
      <c r="V325" s="257">
        <v>1620</v>
      </c>
      <c r="W325" s="257">
        <v>0</v>
      </c>
      <c r="X325" s="257">
        <v>0</v>
      </c>
      <c r="Y325" s="257">
        <v>1620</v>
      </c>
      <c r="Z325" s="257">
        <f t="shared" si="538"/>
        <v>1620</v>
      </c>
    </row>
    <row r="326" spans="1:26" ht="30" x14ac:dyDescent="0.2">
      <c r="A326" s="259" t="s">
        <v>1042</v>
      </c>
      <c r="B326" s="252" t="s">
        <v>130</v>
      </c>
      <c r="C326" s="252" t="s">
        <v>204</v>
      </c>
      <c r="D326" s="252" t="s">
        <v>194</v>
      </c>
      <c r="E326" s="251" t="s">
        <v>1261</v>
      </c>
      <c r="F326" s="252" t="s">
        <v>77</v>
      </c>
      <c r="G326" s="257"/>
      <c r="H326" s="257"/>
      <c r="I326" s="257"/>
      <c r="J326" s="257"/>
      <c r="K326" s="257"/>
      <c r="L326" s="257"/>
      <c r="M326" s="257"/>
      <c r="N326" s="257"/>
      <c r="O326" s="257"/>
      <c r="P326" s="257"/>
      <c r="Q326" s="257"/>
      <c r="R326" s="257"/>
      <c r="S326" s="257"/>
      <c r="T326" s="257">
        <v>0</v>
      </c>
      <c r="U326" s="257">
        <v>165</v>
      </c>
      <c r="V326" s="257">
        <v>0</v>
      </c>
      <c r="W326" s="257">
        <v>900</v>
      </c>
      <c r="X326" s="257">
        <v>0</v>
      </c>
      <c r="Y326" s="257">
        <v>30</v>
      </c>
      <c r="Z326" s="257">
        <f>X326+Y326</f>
        <v>30</v>
      </c>
    </row>
    <row r="327" spans="1:26" x14ac:dyDescent="0.2">
      <c r="A327" s="259" t="s">
        <v>537</v>
      </c>
      <c r="B327" s="252" t="s">
        <v>130</v>
      </c>
      <c r="C327" s="252" t="s">
        <v>204</v>
      </c>
      <c r="D327" s="252" t="s">
        <v>194</v>
      </c>
      <c r="E327" s="251" t="s">
        <v>781</v>
      </c>
      <c r="F327" s="252" t="s">
        <v>79</v>
      </c>
      <c r="G327" s="257"/>
      <c r="H327" s="257">
        <v>0</v>
      </c>
      <c r="I327" s="257">
        <v>720</v>
      </c>
      <c r="J327" s="257">
        <f>H327+I327</f>
        <v>720</v>
      </c>
      <c r="K327" s="257">
        <v>0</v>
      </c>
      <c r="L327" s="257">
        <v>720</v>
      </c>
      <c r="M327" s="257">
        <v>720</v>
      </c>
      <c r="N327" s="257">
        <v>-20</v>
      </c>
      <c r="O327" s="257">
        <f>M327+N327</f>
        <v>700</v>
      </c>
      <c r="P327" s="257">
        <v>700</v>
      </c>
      <c r="Q327" s="257">
        <v>0</v>
      </c>
      <c r="R327" s="257">
        <f t="shared" ref="R327" si="540">P327+Q327</f>
        <v>700</v>
      </c>
      <c r="S327" s="257">
        <v>-200</v>
      </c>
      <c r="T327" s="257">
        <v>700</v>
      </c>
      <c r="U327" s="257">
        <v>0</v>
      </c>
      <c r="V327" s="257">
        <v>700</v>
      </c>
      <c r="W327" s="257">
        <v>0</v>
      </c>
      <c r="X327" s="257">
        <v>0</v>
      </c>
      <c r="Y327" s="257">
        <v>700</v>
      </c>
      <c r="Z327" s="257">
        <f t="shared" ref="Z327" si="541">X327+Y327</f>
        <v>700</v>
      </c>
    </row>
    <row r="328" spans="1:26" hidden="1" x14ac:dyDescent="0.2">
      <c r="A328" s="462"/>
      <c r="B328" s="250"/>
      <c r="C328" s="250"/>
      <c r="D328" s="250"/>
      <c r="E328" s="249"/>
      <c r="F328" s="249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262"/>
      <c r="R328" s="262"/>
      <c r="S328" s="262"/>
      <c r="T328" s="262"/>
      <c r="U328" s="262"/>
      <c r="V328" s="262"/>
      <c r="W328" s="262"/>
      <c r="X328" s="262"/>
      <c r="Y328" s="262"/>
      <c r="Z328" s="262"/>
    </row>
    <row r="329" spans="1:26" hidden="1" x14ac:dyDescent="0.2">
      <c r="A329" s="462"/>
      <c r="B329" s="250"/>
      <c r="C329" s="250"/>
      <c r="D329" s="250"/>
      <c r="E329" s="249"/>
      <c r="F329" s="249"/>
      <c r="G329" s="262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</row>
    <row r="330" spans="1:26" hidden="1" x14ac:dyDescent="0.2">
      <c r="A330" s="462"/>
      <c r="B330" s="250"/>
      <c r="C330" s="250"/>
      <c r="D330" s="250"/>
      <c r="E330" s="249"/>
      <c r="F330" s="249"/>
      <c r="G330" s="262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</row>
    <row r="331" spans="1:26" ht="18.75" hidden="1" customHeight="1" x14ac:dyDescent="0.2">
      <c r="A331" s="259" t="s">
        <v>1204</v>
      </c>
      <c r="B331" s="252" t="s">
        <v>130</v>
      </c>
      <c r="C331" s="252" t="s">
        <v>204</v>
      </c>
      <c r="D331" s="252" t="s">
        <v>192</v>
      </c>
      <c r="E331" s="251" t="s">
        <v>781</v>
      </c>
      <c r="F331" s="252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>
        <f>T332+T333</f>
        <v>0</v>
      </c>
      <c r="U331" s="257">
        <f t="shared" ref="U331:Z331" si="542">U332+U333</f>
        <v>14310</v>
      </c>
      <c r="V331" s="257">
        <f t="shared" si="542"/>
        <v>15394.8</v>
      </c>
      <c r="W331" s="257">
        <f t="shared" si="542"/>
        <v>549.5</v>
      </c>
      <c r="X331" s="257">
        <f t="shared" si="542"/>
        <v>0</v>
      </c>
      <c r="Y331" s="257">
        <f t="shared" si="542"/>
        <v>0</v>
      </c>
      <c r="Z331" s="257">
        <f t="shared" si="542"/>
        <v>0</v>
      </c>
    </row>
    <row r="332" spans="1:26" ht="19.5" hidden="1" customHeight="1" x14ac:dyDescent="0.2">
      <c r="A332" s="259" t="s">
        <v>78</v>
      </c>
      <c r="B332" s="252" t="s">
        <v>130</v>
      </c>
      <c r="C332" s="252" t="s">
        <v>204</v>
      </c>
      <c r="D332" s="252" t="s">
        <v>192</v>
      </c>
      <c r="E332" s="251" t="s">
        <v>1203</v>
      </c>
      <c r="F332" s="252" t="s">
        <v>79</v>
      </c>
      <c r="G332" s="257"/>
      <c r="H332" s="257"/>
      <c r="I332" s="257"/>
      <c r="J332" s="257"/>
      <c r="K332" s="257"/>
      <c r="L332" s="257"/>
      <c r="M332" s="257"/>
      <c r="N332" s="257"/>
      <c r="O332" s="257"/>
      <c r="P332" s="257"/>
      <c r="Q332" s="257"/>
      <c r="R332" s="257"/>
      <c r="S332" s="257"/>
      <c r="T332" s="257">
        <v>0</v>
      </c>
      <c r="U332" s="257">
        <v>14166.9</v>
      </c>
      <c r="V332" s="257">
        <v>15240.9</v>
      </c>
      <c r="W332" s="257">
        <v>543.9</v>
      </c>
      <c r="X332" s="257">
        <v>0</v>
      </c>
      <c r="Y332" s="257">
        <v>0</v>
      </c>
      <c r="Z332" s="257">
        <f>X332+Y332</f>
        <v>0</v>
      </c>
    </row>
    <row r="333" spans="1:26" ht="18.75" hidden="1" customHeight="1" x14ac:dyDescent="0.2">
      <c r="A333" s="259" t="s">
        <v>1121</v>
      </c>
      <c r="B333" s="252" t="s">
        <v>130</v>
      </c>
      <c r="C333" s="252" t="s">
        <v>204</v>
      </c>
      <c r="D333" s="252" t="s">
        <v>192</v>
      </c>
      <c r="E333" s="251" t="s">
        <v>1203</v>
      </c>
      <c r="F333" s="252" t="s">
        <v>79</v>
      </c>
      <c r="G333" s="257"/>
      <c r="H333" s="257"/>
      <c r="I333" s="257"/>
      <c r="J333" s="257"/>
      <c r="K333" s="257"/>
      <c r="L333" s="257"/>
      <c r="M333" s="257"/>
      <c r="N333" s="257"/>
      <c r="O333" s="257"/>
      <c r="P333" s="257"/>
      <c r="Q333" s="257"/>
      <c r="R333" s="257"/>
      <c r="S333" s="257"/>
      <c r="T333" s="257">
        <v>0</v>
      </c>
      <c r="U333" s="257">
        <v>143.1</v>
      </c>
      <c r="V333" s="257">
        <v>153.9</v>
      </c>
      <c r="W333" s="257">
        <v>5.6</v>
      </c>
      <c r="X333" s="257">
        <v>0</v>
      </c>
      <c r="Y333" s="257">
        <v>0</v>
      </c>
      <c r="Z333" s="257">
        <f>X333+Y333</f>
        <v>0</v>
      </c>
    </row>
    <row r="334" spans="1:26" s="428" customFormat="1" ht="33" customHeight="1" x14ac:dyDescent="0.2">
      <c r="A334" s="551" t="s">
        <v>413</v>
      </c>
      <c r="B334" s="552"/>
      <c r="C334" s="552"/>
      <c r="D334" s="552"/>
      <c r="E334" s="552"/>
      <c r="F334" s="552"/>
      <c r="G334" s="448" t="e">
        <f>G335+G427+G414</f>
        <v>#REF!</v>
      </c>
      <c r="H334" s="448" t="e">
        <f>H335+H414+H427</f>
        <v>#REF!</v>
      </c>
      <c r="I334" s="448" t="e">
        <f t="shared" ref="I334:S334" si="543">I335+I427+I414</f>
        <v>#REF!</v>
      </c>
      <c r="J334" s="448" t="e">
        <f t="shared" si="543"/>
        <v>#REF!</v>
      </c>
      <c r="K334" s="448" t="e">
        <f t="shared" si="543"/>
        <v>#REF!</v>
      </c>
      <c r="L334" s="448" t="e">
        <f t="shared" si="543"/>
        <v>#REF!</v>
      </c>
      <c r="M334" s="448" t="e">
        <f t="shared" si="543"/>
        <v>#REF!</v>
      </c>
      <c r="N334" s="448" t="e">
        <f t="shared" si="543"/>
        <v>#REF!</v>
      </c>
      <c r="O334" s="448" t="e">
        <f t="shared" si="543"/>
        <v>#REF!</v>
      </c>
      <c r="P334" s="448" t="e">
        <f t="shared" si="543"/>
        <v>#REF!</v>
      </c>
      <c r="Q334" s="448" t="e">
        <f t="shared" si="543"/>
        <v>#REF!</v>
      </c>
      <c r="R334" s="448" t="e">
        <f t="shared" si="543"/>
        <v>#REF!</v>
      </c>
      <c r="S334" s="448" t="e">
        <f t="shared" si="543"/>
        <v>#REF!</v>
      </c>
      <c r="T334" s="448" t="e">
        <f>T335+T427+T414+T424</f>
        <v>#REF!</v>
      </c>
      <c r="U334" s="448" t="e">
        <f>U335+U427+U414+U424</f>
        <v>#REF!</v>
      </c>
      <c r="V334" s="448" t="e">
        <f>V335+V427+V414+V424</f>
        <v>#REF!</v>
      </c>
      <c r="W334" s="448" t="e">
        <f>W335+W427+W414+W424</f>
        <v>#REF!</v>
      </c>
      <c r="X334" s="448">
        <f>X335+X414+X427</f>
        <v>56387</v>
      </c>
      <c r="Y334" s="448">
        <f t="shared" ref="Y334:Z334" si="544">Y335+Y414+Y427</f>
        <v>9450.2799999999988</v>
      </c>
      <c r="Z334" s="448">
        <f t="shared" si="544"/>
        <v>65837.279999999999</v>
      </c>
    </row>
    <row r="335" spans="1:26" s="430" customFormat="1" ht="14.25" x14ac:dyDescent="0.2">
      <c r="A335" s="462" t="s">
        <v>72</v>
      </c>
      <c r="B335" s="250" t="s">
        <v>343</v>
      </c>
      <c r="C335" s="250" t="s">
        <v>190</v>
      </c>
      <c r="D335" s="250"/>
      <c r="E335" s="250"/>
      <c r="F335" s="250"/>
      <c r="G335" s="275"/>
      <c r="H335" s="275" t="e">
        <f t="shared" ref="H335:Z335" si="545">H336+H365+H406</f>
        <v>#REF!</v>
      </c>
      <c r="I335" s="275" t="e">
        <f t="shared" si="545"/>
        <v>#REF!</v>
      </c>
      <c r="J335" s="275" t="e">
        <f t="shared" si="545"/>
        <v>#REF!</v>
      </c>
      <c r="K335" s="275" t="e">
        <f t="shared" si="545"/>
        <v>#REF!</v>
      </c>
      <c r="L335" s="275">
        <f t="shared" si="545"/>
        <v>11964.029999999999</v>
      </c>
      <c r="M335" s="275">
        <f t="shared" si="545"/>
        <v>11964.03</v>
      </c>
      <c r="N335" s="275">
        <f t="shared" si="545"/>
        <v>-182</v>
      </c>
      <c r="O335" s="275">
        <f t="shared" si="545"/>
        <v>11782.03</v>
      </c>
      <c r="P335" s="275">
        <f t="shared" si="545"/>
        <v>11964.03</v>
      </c>
      <c r="Q335" s="275">
        <f t="shared" si="545"/>
        <v>96.6</v>
      </c>
      <c r="R335" s="275">
        <f t="shared" si="545"/>
        <v>12060.630000000001</v>
      </c>
      <c r="S335" s="275">
        <f t="shared" si="545"/>
        <v>1549.3700000000001</v>
      </c>
      <c r="T335" s="275">
        <f t="shared" si="545"/>
        <v>10844.4</v>
      </c>
      <c r="U335" s="275">
        <f t="shared" si="545"/>
        <v>3184.2</v>
      </c>
      <c r="V335" s="275">
        <f t="shared" si="545"/>
        <v>9670.2000000000007</v>
      </c>
      <c r="W335" s="275">
        <f t="shared" si="545"/>
        <v>5460.0999999999995</v>
      </c>
      <c r="X335" s="275">
        <f t="shared" si="545"/>
        <v>15282.5</v>
      </c>
      <c r="Y335" s="275">
        <f t="shared" si="545"/>
        <v>357.02</v>
      </c>
      <c r="Z335" s="275">
        <f t="shared" si="545"/>
        <v>15639.52</v>
      </c>
    </row>
    <row r="336" spans="1:26" s="430" customFormat="1" ht="33.75" customHeight="1" x14ac:dyDescent="0.2">
      <c r="A336" s="462" t="s">
        <v>195</v>
      </c>
      <c r="B336" s="250" t="s">
        <v>343</v>
      </c>
      <c r="C336" s="250" t="s">
        <v>312</v>
      </c>
      <c r="D336" s="250" t="s">
        <v>196</v>
      </c>
      <c r="E336" s="250"/>
      <c r="F336" s="250"/>
      <c r="G336" s="261">
        <f>G343+G350</f>
        <v>0</v>
      </c>
      <c r="H336" s="261">
        <f>H350</f>
        <v>2646</v>
      </c>
      <c r="I336" s="261">
        <f>I350</f>
        <v>0</v>
      </c>
      <c r="J336" s="261" t="e">
        <f>J343+J350</f>
        <v>#REF!</v>
      </c>
      <c r="K336" s="261">
        <f>K350</f>
        <v>0</v>
      </c>
      <c r="L336" s="261">
        <f>L350</f>
        <v>2804</v>
      </c>
      <c r="M336" s="261">
        <f>M350</f>
        <v>2804</v>
      </c>
      <c r="N336" s="261">
        <f t="shared" ref="N336:P336" si="546">N350</f>
        <v>-182</v>
      </c>
      <c r="O336" s="261">
        <f t="shared" si="546"/>
        <v>2622</v>
      </c>
      <c r="P336" s="261">
        <f t="shared" si="546"/>
        <v>2804</v>
      </c>
      <c r="Q336" s="261">
        <f t="shared" ref="Q336:Z336" si="547">Q350+Q358</f>
        <v>116.6</v>
      </c>
      <c r="R336" s="261">
        <f t="shared" si="547"/>
        <v>2920.6</v>
      </c>
      <c r="S336" s="261">
        <f t="shared" si="547"/>
        <v>1.2000000000000002</v>
      </c>
      <c r="T336" s="261">
        <f t="shared" si="547"/>
        <v>2847.4</v>
      </c>
      <c r="U336" s="261">
        <f t="shared" si="547"/>
        <v>230.20000000000002</v>
      </c>
      <c r="V336" s="261">
        <f t="shared" si="547"/>
        <v>2323.1999999999998</v>
      </c>
      <c r="W336" s="261">
        <f t="shared" si="547"/>
        <v>110.49999999999997</v>
      </c>
      <c r="X336" s="261">
        <f t="shared" si="547"/>
        <v>2487.9</v>
      </c>
      <c r="Y336" s="261">
        <f t="shared" si="547"/>
        <v>78.3</v>
      </c>
      <c r="Z336" s="261">
        <f t="shared" si="547"/>
        <v>2566.1999999999998</v>
      </c>
    </row>
    <row r="337" spans="1:26" s="430" customFormat="1" ht="26.25" hidden="1" customHeight="1" x14ac:dyDescent="0.2">
      <c r="A337" s="259" t="s">
        <v>123</v>
      </c>
      <c r="B337" s="252" t="s">
        <v>343</v>
      </c>
      <c r="C337" s="271" t="s">
        <v>312</v>
      </c>
      <c r="D337" s="252" t="s">
        <v>196</v>
      </c>
      <c r="E337" s="260" t="s">
        <v>332</v>
      </c>
      <c r="F337" s="271"/>
      <c r="G337" s="275"/>
      <c r="H337" s="275"/>
      <c r="I337" s="257">
        <f>I338</f>
        <v>-2636</v>
      </c>
      <c r="J337" s="257">
        <f>J338</f>
        <v>-2636</v>
      </c>
      <c r="K337" s="257">
        <f>K338</f>
        <v>-2636</v>
      </c>
      <c r="L337" s="257">
        <f>L338</f>
        <v>-2636</v>
      </c>
      <c r="M337" s="257">
        <f>M338</f>
        <v>-5272</v>
      </c>
      <c r="N337" s="257">
        <f t="shared" ref="N337:Z337" si="548">N338</f>
        <v>-5272</v>
      </c>
      <c r="O337" s="257">
        <f t="shared" si="548"/>
        <v>-7908</v>
      </c>
      <c r="P337" s="257">
        <f t="shared" si="548"/>
        <v>-7908</v>
      </c>
      <c r="Q337" s="257">
        <f t="shared" si="548"/>
        <v>-13180</v>
      </c>
      <c r="R337" s="257">
        <f t="shared" si="548"/>
        <v>-13180</v>
      </c>
      <c r="S337" s="257">
        <f t="shared" si="548"/>
        <v>-21088</v>
      </c>
      <c r="T337" s="257">
        <f t="shared" si="548"/>
        <v>-21088</v>
      </c>
      <c r="U337" s="257">
        <f t="shared" si="548"/>
        <v>-34268</v>
      </c>
      <c r="V337" s="257">
        <f t="shared" si="548"/>
        <v>-34268</v>
      </c>
      <c r="W337" s="257">
        <f t="shared" si="548"/>
        <v>-55356</v>
      </c>
      <c r="X337" s="257">
        <f t="shared" si="548"/>
        <v>-55356</v>
      </c>
      <c r="Y337" s="257">
        <f t="shared" si="548"/>
        <v>-89624</v>
      </c>
      <c r="Z337" s="257">
        <f t="shared" si="548"/>
        <v>-89624</v>
      </c>
    </row>
    <row r="338" spans="1:26" s="430" customFormat="1" ht="15.75" hidden="1" customHeight="1" x14ac:dyDescent="0.2">
      <c r="A338" s="259" t="s">
        <v>315</v>
      </c>
      <c r="B338" s="252" t="s">
        <v>343</v>
      </c>
      <c r="C338" s="271" t="s">
        <v>312</v>
      </c>
      <c r="D338" s="252" t="s">
        <v>196</v>
      </c>
      <c r="E338" s="260" t="s">
        <v>334</v>
      </c>
      <c r="F338" s="252"/>
      <c r="G338" s="275"/>
      <c r="H338" s="275"/>
      <c r="I338" s="257">
        <f>I339+I340+I341+I342</f>
        <v>-2636</v>
      </c>
      <c r="J338" s="257">
        <f>J339+J340+J341+J342</f>
        <v>-2636</v>
      </c>
      <c r="K338" s="257">
        <f>K339+K340+K341+K342</f>
        <v>-2636</v>
      </c>
      <c r="L338" s="257">
        <f>L339+L340+L341+L342</f>
        <v>-2636</v>
      </c>
      <c r="M338" s="257">
        <f>M339+M340+M341+M342</f>
        <v>-5272</v>
      </c>
      <c r="N338" s="257">
        <f t="shared" ref="N338:R338" si="549">N339+N340+N341+N342</f>
        <v>-5272</v>
      </c>
      <c r="O338" s="257">
        <f t="shared" si="549"/>
        <v>-7908</v>
      </c>
      <c r="P338" s="257">
        <f t="shared" si="549"/>
        <v>-7908</v>
      </c>
      <c r="Q338" s="257">
        <f t="shared" si="549"/>
        <v>-13180</v>
      </c>
      <c r="R338" s="257">
        <f t="shared" si="549"/>
        <v>-13180</v>
      </c>
      <c r="S338" s="257">
        <f t="shared" ref="S338:T338" si="550">S339+S340+S341+S342</f>
        <v>-21088</v>
      </c>
      <c r="T338" s="257">
        <f t="shared" si="550"/>
        <v>-21088</v>
      </c>
      <c r="U338" s="257">
        <f t="shared" ref="U338:V338" si="551">U339+U340+U341+U342</f>
        <v>-34268</v>
      </c>
      <c r="V338" s="257">
        <f t="shared" si="551"/>
        <v>-34268</v>
      </c>
      <c r="W338" s="257">
        <f t="shared" ref="W338:X338" si="552">W339+W340+W341+W342</f>
        <v>-55356</v>
      </c>
      <c r="X338" s="257">
        <f t="shared" si="552"/>
        <v>-55356</v>
      </c>
      <c r="Y338" s="257">
        <f t="shared" ref="Y338:Z338" si="553">Y339+Y340+Y341+Y342</f>
        <v>-89624</v>
      </c>
      <c r="Z338" s="257">
        <f t="shared" si="553"/>
        <v>-89624</v>
      </c>
    </row>
    <row r="339" spans="1:26" s="430" customFormat="1" hidden="1" x14ac:dyDescent="0.2">
      <c r="A339" s="259" t="s">
        <v>95</v>
      </c>
      <c r="B339" s="252" t="s">
        <v>343</v>
      </c>
      <c r="C339" s="271" t="s">
        <v>312</v>
      </c>
      <c r="D339" s="252" t="s">
        <v>196</v>
      </c>
      <c r="E339" s="260" t="s">
        <v>334</v>
      </c>
      <c r="F339" s="252" t="s">
        <v>96</v>
      </c>
      <c r="G339" s="275"/>
      <c r="H339" s="275"/>
      <c r="I339" s="257">
        <v>-2220</v>
      </c>
      <c r="J339" s="257">
        <f>G339+I339</f>
        <v>-2220</v>
      </c>
      <c r="K339" s="257">
        <v>-2220</v>
      </c>
      <c r="L339" s="257">
        <f t="shared" ref="L339:R342" si="554">H339+J339</f>
        <v>-2220</v>
      </c>
      <c r="M339" s="257">
        <f t="shared" si="554"/>
        <v>-4440</v>
      </c>
      <c r="N339" s="257">
        <f t="shared" si="554"/>
        <v>-4440</v>
      </c>
      <c r="O339" s="257">
        <f t="shared" si="554"/>
        <v>-6660</v>
      </c>
      <c r="P339" s="257">
        <f t="shared" si="554"/>
        <v>-6660</v>
      </c>
      <c r="Q339" s="257">
        <f t="shared" si="554"/>
        <v>-11100</v>
      </c>
      <c r="R339" s="257">
        <f t="shared" si="554"/>
        <v>-11100</v>
      </c>
      <c r="S339" s="257">
        <f t="shared" ref="S339:S342" si="555">O339+Q339</f>
        <v>-17760</v>
      </c>
      <c r="T339" s="257">
        <f t="shared" ref="T339:T342" si="556">P339+R339</f>
        <v>-17760</v>
      </c>
      <c r="U339" s="257">
        <f t="shared" ref="U339:U342" si="557">Q339+S339</f>
        <v>-28860</v>
      </c>
      <c r="V339" s="257">
        <f t="shared" ref="V339:V342" si="558">R339+T339</f>
        <v>-28860</v>
      </c>
      <c r="W339" s="257">
        <f t="shared" ref="W339:W342" si="559">S339+U339</f>
        <v>-46620</v>
      </c>
      <c r="X339" s="257">
        <f t="shared" ref="X339:X342" si="560">T339+V339</f>
        <v>-46620</v>
      </c>
      <c r="Y339" s="257">
        <f t="shared" ref="Y339:Y342" si="561">U339+W339</f>
        <v>-75480</v>
      </c>
      <c r="Z339" s="257">
        <f t="shared" ref="Z339:Z342" si="562">V339+X339</f>
        <v>-75480</v>
      </c>
    </row>
    <row r="340" spans="1:26" s="430" customFormat="1" ht="16.5" hidden="1" customHeight="1" x14ac:dyDescent="0.2">
      <c r="A340" s="259" t="s">
        <v>97</v>
      </c>
      <c r="B340" s="252" t="s">
        <v>343</v>
      </c>
      <c r="C340" s="271" t="s">
        <v>312</v>
      </c>
      <c r="D340" s="252" t="s">
        <v>196</v>
      </c>
      <c r="E340" s="260" t="s">
        <v>334</v>
      </c>
      <c r="F340" s="252" t="s">
        <v>98</v>
      </c>
      <c r="G340" s="275"/>
      <c r="H340" s="275"/>
      <c r="I340" s="257">
        <v>-101</v>
      </c>
      <c r="J340" s="257">
        <f>G340+I340</f>
        <v>-101</v>
      </c>
      <c r="K340" s="257">
        <v>-101</v>
      </c>
      <c r="L340" s="257">
        <f t="shared" si="554"/>
        <v>-101</v>
      </c>
      <c r="M340" s="257">
        <f t="shared" si="554"/>
        <v>-202</v>
      </c>
      <c r="N340" s="257">
        <f t="shared" si="554"/>
        <v>-202</v>
      </c>
      <c r="O340" s="257">
        <f t="shared" si="554"/>
        <v>-303</v>
      </c>
      <c r="P340" s="257">
        <f t="shared" si="554"/>
        <v>-303</v>
      </c>
      <c r="Q340" s="257">
        <f t="shared" si="554"/>
        <v>-505</v>
      </c>
      <c r="R340" s="257">
        <f t="shared" si="554"/>
        <v>-505</v>
      </c>
      <c r="S340" s="257">
        <f t="shared" si="555"/>
        <v>-808</v>
      </c>
      <c r="T340" s="257">
        <f t="shared" si="556"/>
        <v>-808</v>
      </c>
      <c r="U340" s="257">
        <f t="shared" si="557"/>
        <v>-1313</v>
      </c>
      <c r="V340" s="257">
        <f t="shared" si="558"/>
        <v>-1313</v>
      </c>
      <c r="W340" s="257">
        <f t="shared" si="559"/>
        <v>-2121</v>
      </c>
      <c r="X340" s="257">
        <f t="shared" si="560"/>
        <v>-2121</v>
      </c>
      <c r="Y340" s="257">
        <f t="shared" si="561"/>
        <v>-3434</v>
      </c>
      <c r="Z340" s="257">
        <f t="shared" si="562"/>
        <v>-3434</v>
      </c>
    </row>
    <row r="341" spans="1:26" s="430" customFormat="1" ht="15" hidden="1" customHeight="1" x14ac:dyDescent="0.2">
      <c r="A341" s="259" t="s">
        <v>99</v>
      </c>
      <c r="B341" s="252" t="s">
        <v>343</v>
      </c>
      <c r="C341" s="271" t="s">
        <v>312</v>
      </c>
      <c r="D341" s="252" t="s">
        <v>196</v>
      </c>
      <c r="E341" s="260" t="s">
        <v>334</v>
      </c>
      <c r="F341" s="252" t="s">
        <v>100</v>
      </c>
      <c r="G341" s="275"/>
      <c r="H341" s="275"/>
      <c r="I341" s="257">
        <v>-295</v>
      </c>
      <c r="J341" s="257">
        <f>G341+I341</f>
        <v>-295</v>
      </c>
      <c r="K341" s="257">
        <v>-295</v>
      </c>
      <c r="L341" s="257">
        <f t="shared" si="554"/>
        <v>-295</v>
      </c>
      <c r="M341" s="257">
        <f t="shared" si="554"/>
        <v>-590</v>
      </c>
      <c r="N341" s="257">
        <f t="shared" si="554"/>
        <v>-590</v>
      </c>
      <c r="O341" s="257">
        <f t="shared" si="554"/>
        <v>-885</v>
      </c>
      <c r="P341" s="257">
        <f t="shared" si="554"/>
        <v>-885</v>
      </c>
      <c r="Q341" s="257">
        <f t="shared" si="554"/>
        <v>-1475</v>
      </c>
      <c r="R341" s="257">
        <f t="shared" si="554"/>
        <v>-1475</v>
      </c>
      <c r="S341" s="257">
        <f t="shared" si="555"/>
        <v>-2360</v>
      </c>
      <c r="T341" s="257">
        <f t="shared" si="556"/>
        <v>-2360</v>
      </c>
      <c r="U341" s="257">
        <f t="shared" si="557"/>
        <v>-3835</v>
      </c>
      <c r="V341" s="257">
        <f t="shared" si="558"/>
        <v>-3835</v>
      </c>
      <c r="W341" s="257">
        <f t="shared" si="559"/>
        <v>-6195</v>
      </c>
      <c r="X341" s="257">
        <f t="shared" si="560"/>
        <v>-6195</v>
      </c>
      <c r="Y341" s="257">
        <f t="shared" si="561"/>
        <v>-10030</v>
      </c>
      <c r="Z341" s="257">
        <f t="shared" si="562"/>
        <v>-10030</v>
      </c>
    </row>
    <row r="342" spans="1:26" s="430" customFormat="1" ht="18.75" hidden="1" customHeight="1" x14ac:dyDescent="0.2">
      <c r="A342" s="259" t="s">
        <v>93</v>
      </c>
      <c r="B342" s="252" t="s">
        <v>343</v>
      </c>
      <c r="C342" s="271" t="s">
        <v>312</v>
      </c>
      <c r="D342" s="252" t="s">
        <v>196</v>
      </c>
      <c r="E342" s="260" t="s">
        <v>334</v>
      </c>
      <c r="F342" s="252" t="s">
        <v>94</v>
      </c>
      <c r="G342" s="275"/>
      <c r="H342" s="275"/>
      <c r="I342" s="257">
        <v>-20</v>
      </c>
      <c r="J342" s="257">
        <f>G342+I342</f>
        <v>-20</v>
      </c>
      <c r="K342" s="257">
        <v>-20</v>
      </c>
      <c r="L342" s="257">
        <f t="shared" si="554"/>
        <v>-20</v>
      </c>
      <c r="M342" s="257">
        <f t="shared" si="554"/>
        <v>-40</v>
      </c>
      <c r="N342" s="257">
        <f t="shared" si="554"/>
        <v>-40</v>
      </c>
      <c r="O342" s="257">
        <f t="shared" si="554"/>
        <v>-60</v>
      </c>
      <c r="P342" s="257">
        <f t="shared" si="554"/>
        <v>-60</v>
      </c>
      <c r="Q342" s="257">
        <f t="shared" si="554"/>
        <v>-100</v>
      </c>
      <c r="R342" s="257">
        <f t="shared" si="554"/>
        <v>-100</v>
      </c>
      <c r="S342" s="257">
        <f t="shared" si="555"/>
        <v>-160</v>
      </c>
      <c r="T342" s="257">
        <f t="shared" si="556"/>
        <v>-160</v>
      </c>
      <c r="U342" s="257">
        <f t="shared" si="557"/>
        <v>-260</v>
      </c>
      <c r="V342" s="257">
        <f t="shared" si="558"/>
        <v>-260</v>
      </c>
      <c r="W342" s="257">
        <f t="shared" si="559"/>
        <v>-420</v>
      </c>
      <c r="X342" s="257">
        <f t="shared" si="560"/>
        <v>-420</v>
      </c>
      <c r="Y342" s="257">
        <f t="shared" si="561"/>
        <v>-680</v>
      </c>
      <c r="Z342" s="257">
        <f t="shared" si="562"/>
        <v>-680</v>
      </c>
    </row>
    <row r="343" spans="1:26" s="430" customFormat="1" ht="16.5" hidden="1" customHeight="1" x14ac:dyDescent="0.2">
      <c r="A343" s="259" t="s">
        <v>973</v>
      </c>
      <c r="B343" s="252" t="s">
        <v>343</v>
      </c>
      <c r="C343" s="271" t="s">
        <v>312</v>
      </c>
      <c r="D343" s="252" t="s">
        <v>196</v>
      </c>
      <c r="E343" s="260" t="s">
        <v>462</v>
      </c>
      <c r="F343" s="271"/>
      <c r="G343" s="275"/>
      <c r="H343" s="275"/>
      <c r="I343" s="257">
        <f t="shared" ref="I343:Y344" si="563">I344</f>
        <v>-2293.8000000000002</v>
      </c>
      <c r="J343" s="257" t="e">
        <f t="shared" si="563"/>
        <v>#REF!</v>
      </c>
      <c r="K343" s="257">
        <f t="shared" si="563"/>
        <v>-2293.8000000000002</v>
      </c>
      <c r="L343" s="257" t="e">
        <f t="shared" si="563"/>
        <v>#REF!</v>
      </c>
      <c r="M343" s="257" t="e">
        <f t="shared" si="563"/>
        <v>#REF!</v>
      </c>
      <c r="N343" s="257" t="e">
        <f t="shared" si="563"/>
        <v>#REF!</v>
      </c>
      <c r="O343" s="257" t="e">
        <f t="shared" si="563"/>
        <v>#REF!</v>
      </c>
      <c r="P343" s="257" t="e">
        <f t="shared" si="563"/>
        <v>#REF!</v>
      </c>
      <c r="Q343" s="257" t="e">
        <f t="shared" si="563"/>
        <v>#REF!</v>
      </c>
      <c r="R343" s="257" t="e">
        <f t="shared" si="563"/>
        <v>#REF!</v>
      </c>
      <c r="S343" s="257" t="e">
        <f t="shared" si="563"/>
        <v>#REF!</v>
      </c>
      <c r="T343" s="257" t="e">
        <f t="shared" si="563"/>
        <v>#REF!</v>
      </c>
      <c r="U343" s="257" t="e">
        <f t="shared" si="563"/>
        <v>#REF!</v>
      </c>
      <c r="V343" s="257" t="e">
        <f t="shared" si="563"/>
        <v>#REF!</v>
      </c>
      <c r="W343" s="257" t="e">
        <f t="shared" si="563"/>
        <v>#REF!</v>
      </c>
      <c r="X343" s="257" t="e">
        <f t="shared" si="563"/>
        <v>#REF!</v>
      </c>
      <c r="Y343" s="257" t="e">
        <f t="shared" si="563"/>
        <v>#REF!</v>
      </c>
      <c r="Z343" s="257" t="e">
        <f t="shared" ref="Y343:Z344" si="564">Z344</f>
        <v>#REF!</v>
      </c>
    </row>
    <row r="344" spans="1:26" s="430" customFormat="1" ht="27" hidden="1" customHeight="1" x14ac:dyDescent="0.2">
      <c r="A344" s="259" t="s">
        <v>991</v>
      </c>
      <c r="B344" s="252" t="s">
        <v>343</v>
      </c>
      <c r="C344" s="271" t="s">
        <v>312</v>
      </c>
      <c r="D344" s="252" t="s">
        <v>196</v>
      </c>
      <c r="E344" s="260" t="s">
        <v>463</v>
      </c>
      <c r="F344" s="252"/>
      <c r="G344" s="275"/>
      <c r="H344" s="275"/>
      <c r="I344" s="257">
        <f t="shared" si="563"/>
        <v>-2293.8000000000002</v>
      </c>
      <c r="J344" s="257" t="e">
        <f t="shared" si="563"/>
        <v>#REF!</v>
      </c>
      <c r="K344" s="257">
        <f t="shared" si="563"/>
        <v>-2293.8000000000002</v>
      </c>
      <c r="L344" s="257" t="e">
        <f t="shared" si="563"/>
        <v>#REF!</v>
      </c>
      <c r="M344" s="257" t="e">
        <f t="shared" si="563"/>
        <v>#REF!</v>
      </c>
      <c r="N344" s="257" t="e">
        <f t="shared" si="563"/>
        <v>#REF!</v>
      </c>
      <c r="O344" s="257" t="e">
        <f t="shared" si="563"/>
        <v>#REF!</v>
      </c>
      <c r="P344" s="257" t="e">
        <f t="shared" si="563"/>
        <v>#REF!</v>
      </c>
      <c r="Q344" s="257" t="e">
        <f t="shared" si="563"/>
        <v>#REF!</v>
      </c>
      <c r="R344" s="257" t="e">
        <f t="shared" si="563"/>
        <v>#REF!</v>
      </c>
      <c r="S344" s="257" t="e">
        <f t="shared" si="563"/>
        <v>#REF!</v>
      </c>
      <c r="T344" s="257" t="e">
        <f t="shared" si="563"/>
        <v>#REF!</v>
      </c>
      <c r="U344" s="257" t="e">
        <f t="shared" si="563"/>
        <v>#REF!</v>
      </c>
      <c r="V344" s="257" t="e">
        <f t="shared" si="563"/>
        <v>#REF!</v>
      </c>
      <c r="W344" s="257" t="e">
        <f t="shared" si="563"/>
        <v>#REF!</v>
      </c>
      <c r="X344" s="257" t="e">
        <f t="shared" si="563"/>
        <v>#REF!</v>
      </c>
      <c r="Y344" s="257" t="e">
        <f t="shared" si="564"/>
        <v>#REF!</v>
      </c>
      <c r="Z344" s="257" t="e">
        <f t="shared" si="564"/>
        <v>#REF!</v>
      </c>
    </row>
    <row r="345" spans="1:26" s="430" customFormat="1" ht="27.75" hidden="1" customHeight="1" x14ac:dyDescent="0.2">
      <c r="A345" s="259" t="s">
        <v>992</v>
      </c>
      <c r="B345" s="252" t="s">
        <v>343</v>
      </c>
      <c r="C345" s="271" t="s">
        <v>312</v>
      </c>
      <c r="D345" s="252" t="s">
        <v>196</v>
      </c>
      <c r="E345" s="260" t="s">
        <v>484</v>
      </c>
      <c r="F345" s="252"/>
      <c r="G345" s="275"/>
      <c r="H345" s="275"/>
      <c r="I345" s="257">
        <f>I346+I347+I348+I349</f>
        <v>-2293.8000000000002</v>
      </c>
      <c r="J345" s="257" t="e">
        <f>J346+J347+J348+J349</f>
        <v>#REF!</v>
      </c>
      <c r="K345" s="257">
        <f>K346+K347+K348+K349</f>
        <v>-2293.8000000000002</v>
      </c>
      <c r="L345" s="257" t="e">
        <f>L346+L347+L348+L349</f>
        <v>#REF!</v>
      </c>
      <c r="M345" s="257" t="e">
        <f>M346+M347+M348+M349</f>
        <v>#REF!</v>
      </c>
      <c r="N345" s="257" t="e">
        <f t="shared" ref="N345:R345" si="565">N346+N347+N348+N349</f>
        <v>#REF!</v>
      </c>
      <c r="O345" s="257" t="e">
        <f t="shared" si="565"/>
        <v>#REF!</v>
      </c>
      <c r="P345" s="257" t="e">
        <f t="shared" si="565"/>
        <v>#REF!</v>
      </c>
      <c r="Q345" s="257" t="e">
        <f t="shared" si="565"/>
        <v>#REF!</v>
      </c>
      <c r="R345" s="257" t="e">
        <f t="shared" si="565"/>
        <v>#REF!</v>
      </c>
      <c r="S345" s="257" t="e">
        <f t="shared" ref="S345:T345" si="566">S346+S347+S348+S349</f>
        <v>#REF!</v>
      </c>
      <c r="T345" s="257" t="e">
        <f t="shared" si="566"/>
        <v>#REF!</v>
      </c>
      <c r="U345" s="257" t="e">
        <f t="shared" ref="U345:V345" si="567">U346+U347+U348+U349</f>
        <v>#REF!</v>
      </c>
      <c r="V345" s="257" t="e">
        <f t="shared" si="567"/>
        <v>#REF!</v>
      </c>
      <c r="W345" s="257" t="e">
        <f t="shared" ref="W345:X345" si="568">W346+W347+W348+W349</f>
        <v>#REF!</v>
      </c>
      <c r="X345" s="257" t="e">
        <f t="shared" si="568"/>
        <v>#REF!</v>
      </c>
      <c r="Y345" s="257" t="e">
        <f t="shared" ref="Y345:Z345" si="569">Y346+Y347+Y348+Y349</f>
        <v>#REF!</v>
      </c>
      <c r="Z345" s="257" t="e">
        <f t="shared" si="569"/>
        <v>#REF!</v>
      </c>
    </row>
    <row r="346" spans="1:26" s="430" customFormat="1" ht="17.25" hidden="1" customHeight="1" x14ac:dyDescent="0.2">
      <c r="A346" s="259" t="s">
        <v>95</v>
      </c>
      <c r="B346" s="252" t="s">
        <v>343</v>
      </c>
      <c r="C346" s="271" t="s">
        <v>312</v>
      </c>
      <c r="D346" s="252" t="s">
        <v>196</v>
      </c>
      <c r="E346" s="260" t="s">
        <v>484</v>
      </c>
      <c r="F346" s="252" t="s">
        <v>96</v>
      </c>
      <c r="G346" s="275"/>
      <c r="H346" s="275"/>
      <c r="I346" s="257">
        <v>-1977.8</v>
      </c>
      <c r="J346" s="257" t="e">
        <f>#REF!+I346</f>
        <v>#REF!</v>
      </c>
      <c r="K346" s="257">
        <v>-1977.8</v>
      </c>
      <c r="L346" s="257" t="e">
        <f>#REF!+J346</f>
        <v>#REF!</v>
      </c>
      <c r="M346" s="257" t="e">
        <f>#REF!+K346</f>
        <v>#REF!</v>
      </c>
      <c r="N346" s="257" t="e">
        <f>#REF!+L346</f>
        <v>#REF!</v>
      </c>
      <c r="O346" s="257" t="e">
        <f>#REF!+M346</f>
        <v>#REF!</v>
      </c>
      <c r="P346" s="257" t="e">
        <f>#REF!+N346</f>
        <v>#REF!</v>
      </c>
      <c r="Q346" s="257" t="e">
        <f>#REF!+O346</f>
        <v>#REF!</v>
      </c>
      <c r="R346" s="257" t="e">
        <f>#REF!+P346</f>
        <v>#REF!</v>
      </c>
      <c r="S346" s="257" t="e">
        <f>#REF!+Q346</f>
        <v>#REF!</v>
      </c>
      <c r="T346" s="257" t="e">
        <f>#REF!+R346</f>
        <v>#REF!</v>
      </c>
      <c r="U346" s="257" t="e">
        <f>#REF!+S346</f>
        <v>#REF!</v>
      </c>
      <c r="V346" s="257" t="e">
        <f>#REF!+T346</f>
        <v>#REF!</v>
      </c>
      <c r="W346" s="257" t="e">
        <f>#REF!+U346</f>
        <v>#REF!</v>
      </c>
      <c r="X346" s="257" t="e">
        <f>#REF!+V346</f>
        <v>#REF!</v>
      </c>
      <c r="Y346" s="257" t="e">
        <f>#REF!+W346</f>
        <v>#REF!</v>
      </c>
      <c r="Z346" s="257" t="e">
        <f>#REF!+X346</f>
        <v>#REF!</v>
      </c>
    </row>
    <row r="347" spans="1:26" s="430" customFormat="1" ht="18.75" hidden="1" customHeight="1" x14ac:dyDescent="0.2">
      <c r="A347" s="259" t="s">
        <v>97</v>
      </c>
      <c r="B347" s="252" t="s">
        <v>343</v>
      </c>
      <c r="C347" s="271" t="s">
        <v>312</v>
      </c>
      <c r="D347" s="252" t="s">
        <v>196</v>
      </c>
      <c r="E347" s="260" t="s">
        <v>484</v>
      </c>
      <c r="F347" s="252" t="s">
        <v>98</v>
      </c>
      <c r="G347" s="275"/>
      <c r="H347" s="275"/>
      <c r="I347" s="257">
        <v>-101</v>
      </c>
      <c r="J347" s="257" t="e">
        <f>#REF!+I347</f>
        <v>#REF!</v>
      </c>
      <c r="K347" s="257">
        <v>-101</v>
      </c>
      <c r="L347" s="257" t="e">
        <f>#REF!+J347</f>
        <v>#REF!</v>
      </c>
      <c r="M347" s="257" t="e">
        <f>#REF!+K347</f>
        <v>#REF!</v>
      </c>
      <c r="N347" s="257" t="e">
        <f>#REF!+L347</f>
        <v>#REF!</v>
      </c>
      <c r="O347" s="257" t="e">
        <f>#REF!+M347</f>
        <v>#REF!</v>
      </c>
      <c r="P347" s="257" t="e">
        <f>#REF!+N347</f>
        <v>#REF!</v>
      </c>
      <c r="Q347" s="257" t="e">
        <f>#REF!+O347</f>
        <v>#REF!</v>
      </c>
      <c r="R347" s="257" t="e">
        <f>#REF!+P347</f>
        <v>#REF!</v>
      </c>
      <c r="S347" s="257" t="e">
        <f>#REF!+Q347</f>
        <v>#REF!</v>
      </c>
      <c r="T347" s="257" t="e">
        <f>#REF!+R347</f>
        <v>#REF!</v>
      </c>
      <c r="U347" s="257" t="e">
        <f>#REF!+S347</f>
        <v>#REF!</v>
      </c>
      <c r="V347" s="257" t="e">
        <f>#REF!+T347</f>
        <v>#REF!</v>
      </c>
      <c r="W347" s="257" t="e">
        <f>#REF!+U347</f>
        <v>#REF!</v>
      </c>
      <c r="X347" s="257" t="e">
        <f>#REF!+V347</f>
        <v>#REF!</v>
      </c>
      <c r="Y347" s="257" t="e">
        <f>#REF!+W347</f>
        <v>#REF!</v>
      </c>
      <c r="Z347" s="257" t="e">
        <f>#REF!+X347</f>
        <v>#REF!</v>
      </c>
    </row>
    <row r="348" spans="1:26" s="430" customFormat="1" ht="16.5" hidden="1" customHeight="1" x14ac:dyDescent="0.2">
      <c r="A348" s="259" t="s">
        <v>99</v>
      </c>
      <c r="B348" s="252" t="s">
        <v>343</v>
      </c>
      <c r="C348" s="271" t="s">
        <v>312</v>
      </c>
      <c r="D348" s="252" t="s">
        <v>196</v>
      </c>
      <c r="E348" s="260" t="s">
        <v>484</v>
      </c>
      <c r="F348" s="252" t="s">
        <v>100</v>
      </c>
      <c r="G348" s="275"/>
      <c r="H348" s="275"/>
      <c r="I348" s="257">
        <v>-95</v>
      </c>
      <c r="J348" s="257" t="e">
        <f>#REF!+I348</f>
        <v>#REF!</v>
      </c>
      <c r="K348" s="257">
        <v>-95</v>
      </c>
      <c r="L348" s="257" t="e">
        <f>#REF!+J348</f>
        <v>#REF!</v>
      </c>
      <c r="M348" s="257" t="e">
        <f>#REF!+K348</f>
        <v>#REF!</v>
      </c>
      <c r="N348" s="257" t="e">
        <f>#REF!+L348</f>
        <v>#REF!</v>
      </c>
      <c r="O348" s="257" t="e">
        <f>#REF!+M348</f>
        <v>#REF!</v>
      </c>
      <c r="P348" s="257" t="e">
        <f>#REF!+N348</f>
        <v>#REF!</v>
      </c>
      <c r="Q348" s="257" t="e">
        <f>#REF!+O348</f>
        <v>#REF!</v>
      </c>
      <c r="R348" s="257" t="e">
        <f>#REF!+P348</f>
        <v>#REF!</v>
      </c>
      <c r="S348" s="257" t="e">
        <f>#REF!+Q348</f>
        <v>#REF!</v>
      </c>
      <c r="T348" s="257" t="e">
        <f>#REF!+R348</f>
        <v>#REF!</v>
      </c>
      <c r="U348" s="257" t="e">
        <f>#REF!+S348</f>
        <v>#REF!</v>
      </c>
      <c r="V348" s="257" t="e">
        <f>#REF!+T348</f>
        <v>#REF!</v>
      </c>
      <c r="W348" s="257" t="e">
        <f>#REF!+U348</f>
        <v>#REF!</v>
      </c>
      <c r="X348" s="257" t="e">
        <f>#REF!+V348</f>
        <v>#REF!</v>
      </c>
      <c r="Y348" s="257" t="e">
        <f>#REF!+W348</f>
        <v>#REF!</v>
      </c>
      <c r="Z348" s="257" t="e">
        <f>#REF!+X348</f>
        <v>#REF!</v>
      </c>
    </row>
    <row r="349" spans="1:26" s="430" customFormat="1" ht="15" hidden="1" customHeight="1" x14ac:dyDescent="0.2">
      <c r="A349" s="259" t="s">
        <v>93</v>
      </c>
      <c r="B349" s="252" t="s">
        <v>343</v>
      </c>
      <c r="C349" s="271" t="s">
        <v>312</v>
      </c>
      <c r="D349" s="252" t="s">
        <v>196</v>
      </c>
      <c r="E349" s="260" t="s">
        <v>484</v>
      </c>
      <c r="F349" s="252" t="s">
        <v>94</v>
      </c>
      <c r="G349" s="275"/>
      <c r="H349" s="275"/>
      <c r="I349" s="257">
        <v>-120</v>
      </c>
      <c r="J349" s="257" t="e">
        <f>#REF!+I349</f>
        <v>#REF!</v>
      </c>
      <c r="K349" s="257">
        <v>-120</v>
      </c>
      <c r="L349" s="257" t="e">
        <f>#REF!+J349</f>
        <v>#REF!</v>
      </c>
      <c r="M349" s="257" t="e">
        <f>#REF!+K349</f>
        <v>#REF!</v>
      </c>
      <c r="N349" s="257" t="e">
        <f>#REF!+L349</f>
        <v>#REF!</v>
      </c>
      <c r="O349" s="257" t="e">
        <f>#REF!+M349</f>
        <v>#REF!</v>
      </c>
      <c r="P349" s="257" t="e">
        <f>#REF!+N349</f>
        <v>#REF!</v>
      </c>
      <c r="Q349" s="257" t="e">
        <f>#REF!+O349</f>
        <v>#REF!</v>
      </c>
      <c r="R349" s="257" t="e">
        <f>#REF!+P349</f>
        <v>#REF!</v>
      </c>
      <c r="S349" s="257" t="e">
        <f>#REF!+Q349</f>
        <v>#REF!</v>
      </c>
      <c r="T349" s="257" t="e">
        <f>#REF!+R349</f>
        <v>#REF!</v>
      </c>
      <c r="U349" s="257" t="e">
        <f>#REF!+S349</f>
        <v>#REF!</v>
      </c>
      <c r="V349" s="257" t="e">
        <f>#REF!+T349</f>
        <v>#REF!</v>
      </c>
      <c r="W349" s="257" t="e">
        <f>#REF!+U349</f>
        <v>#REF!</v>
      </c>
      <c r="X349" s="257" t="e">
        <f>#REF!+V349</f>
        <v>#REF!</v>
      </c>
      <c r="Y349" s="257" t="e">
        <f>#REF!+W349</f>
        <v>#REF!</v>
      </c>
      <c r="Z349" s="257" t="e">
        <f>#REF!+X349</f>
        <v>#REF!</v>
      </c>
    </row>
    <row r="350" spans="1:26" s="430" customFormat="1" ht="27.75" customHeight="1" x14ac:dyDescent="0.2">
      <c r="A350" s="259" t="s">
        <v>992</v>
      </c>
      <c r="B350" s="252" t="s">
        <v>343</v>
      </c>
      <c r="C350" s="271" t="s">
        <v>312</v>
      </c>
      <c r="D350" s="252" t="s">
        <v>196</v>
      </c>
      <c r="E350" s="260" t="s">
        <v>1022</v>
      </c>
      <c r="F350" s="252"/>
      <c r="G350" s="262">
        <f>G351+G355+G356+G357</f>
        <v>0</v>
      </c>
      <c r="H350" s="262">
        <f>H351+H355+H356+H357+H352</f>
        <v>2646</v>
      </c>
      <c r="I350" s="262">
        <f>I351+I355+I356+I357+I352</f>
        <v>0</v>
      </c>
      <c r="J350" s="262">
        <f>J351+J355+J356+J357+J352</f>
        <v>2646</v>
      </c>
      <c r="K350" s="262">
        <f>K351+K355+K356+K357+K352</f>
        <v>0</v>
      </c>
      <c r="L350" s="262">
        <f t="shared" ref="L350:Q350" si="570">L351+L352+L355+L356+L357</f>
        <v>2804</v>
      </c>
      <c r="M350" s="262">
        <f t="shared" si="570"/>
        <v>2804</v>
      </c>
      <c r="N350" s="262">
        <f t="shared" si="570"/>
        <v>-182</v>
      </c>
      <c r="O350" s="262">
        <f t="shared" si="570"/>
        <v>2622</v>
      </c>
      <c r="P350" s="262">
        <f t="shared" si="570"/>
        <v>2804</v>
      </c>
      <c r="Q350" s="262">
        <f t="shared" si="570"/>
        <v>0</v>
      </c>
      <c r="R350" s="262">
        <f t="shared" ref="R350:Z350" si="571">R351+R352+R355+R356+R357+R353+R354</f>
        <v>2804</v>
      </c>
      <c r="S350" s="262">
        <f t="shared" si="571"/>
        <v>4</v>
      </c>
      <c r="T350" s="262">
        <f t="shared" si="571"/>
        <v>2733.6</v>
      </c>
      <c r="U350" s="262">
        <f t="shared" si="571"/>
        <v>234.4</v>
      </c>
      <c r="V350" s="262">
        <f t="shared" si="571"/>
        <v>2213.6</v>
      </c>
      <c r="W350" s="262">
        <f t="shared" si="571"/>
        <v>103.39999999999998</v>
      </c>
      <c r="X350" s="262">
        <f t="shared" si="571"/>
        <v>2349</v>
      </c>
      <c r="Y350" s="262">
        <f t="shared" si="571"/>
        <v>110</v>
      </c>
      <c r="Z350" s="262">
        <f t="shared" si="571"/>
        <v>2459</v>
      </c>
    </row>
    <row r="351" spans="1:26" s="430" customFormat="1" ht="15" customHeight="1" x14ac:dyDescent="0.2">
      <c r="A351" s="259" t="s">
        <v>95</v>
      </c>
      <c r="B351" s="252" t="s">
        <v>343</v>
      </c>
      <c r="C351" s="271" t="s">
        <v>312</v>
      </c>
      <c r="D351" s="252" t="s">
        <v>196</v>
      </c>
      <c r="E351" s="260" t="s">
        <v>1022</v>
      </c>
      <c r="F351" s="252" t="s">
        <v>96</v>
      </c>
      <c r="G351" s="275"/>
      <c r="H351" s="257">
        <v>2300</v>
      </c>
      <c r="I351" s="257">
        <v>-550</v>
      </c>
      <c r="J351" s="257">
        <f>H351+I351</f>
        <v>1750</v>
      </c>
      <c r="K351" s="257">
        <v>0</v>
      </c>
      <c r="L351" s="257">
        <v>1900</v>
      </c>
      <c r="M351" s="257">
        <v>1900</v>
      </c>
      <c r="N351" s="257">
        <v>-140</v>
      </c>
      <c r="O351" s="257">
        <f>M351+N351</f>
        <v>1760</v>
      </c>
      <c r="P351" s="257">
        <v>1900</v>
      </c>
      <c r="Q351" s="257">
        <v>0</v>
      </c>
      <c r="R351" s="257">
        <f>P351+Q351</f>
        <v>1900</v>
      </c>
      <c r="S351" s="257">
        <f>-400+57</f>
        <v>-343</v>
      </c>
      <c r="T351" s="257">
        <v>1500</v>
      </c>
      <c r="U351" s="257">
        <f>-120+300</f>
        <v>180</v>
      </c>
      <c r="V351" s="257">
        <v>1500</v>
      </c>
      <c r="W351" s="257">
        <f>-546+226</f>
        <v>-320</v>
      </c>
      <c r="X351" s="257">
        <v>1605</v>
      </c>
      <c r="Y351" s="257">
        <v>-290</v>
      </c>
      <c r="Z351" s="257">
        <f t="shared" ref="Z351:Z357" si="572">X351+Y351</f>
        <v>1315</v>
      </c>
    </row>
    <row r="352" spans="1:26" s="430" customFormat="1" ht="35.25" customHeight="1" x14ac:dyDescent="0.2">
      <c r="A352" s="375" t="s">
        <v>898</v>
      </c>
      <c r="B352" s="382" t="s">
        <v>343</v>
      </c>
      <c r="C352" s="382" t="s">
        <v>190</v>
      </c>
      <c r="D352" s="382" t="s">
        <v>196</v>
      </c>
      <c r="E352" s="260" t="s">
        <v>1022</v>
      </c>
      <c r="F352" s="382" t="s">
        <v>896</v>
      </c>
      <c r="G352" s="275"/>
      <c r="H352" s="257"/>
      <c r="I352" s="257">
        <v>550</v>
      </c>
      <c r="J352" s="257">
        <f>H352+I352</f>
        <v>550</v>
      </c>
      <c r="K352" s="257">
        <v>0</v>
      </c>
      <c r="L352" s="257">
        <v>574</v>
      </c>
      <c r="M352" s="257">
        <v>574</v>
      </c>
      <c r="N352" s="257">
        <v>-42</v>
      </c>
      <c r="O352" s="257">
        <f t="shared" ref="O352:O357" si="573">M352+N352</f>
        <v>532</v>
      </c>
      <c r="P352" s="257">
        <v>574</v>
      </c>
      <c r="Q352" s="257">
        <v>0</v>
      </c>
      <c r="R352" s="257">
        <f t="shared" ref="R352:R436" si="574">P352+Q352</f>
        <v>574</v>
      </c>
      <c r="S352" s="257">
        <f>-120.4+17.4</f>
        <v>-103</v>
      </c>
      <c r="T352" s="257">
        <v>453.6</v>
      </c>
      <c r="U352" s="257">
        <f>-35.6+90</f>
        <v>54.4</v>
      </c>
      <c r="V352" s="257">
        <v>453.6</v>
      </c>
      <c r="W352" s="257">
        <f>-164.6+68</f>
        <v>-96.6</v>
      </c>
      <c r="X352" s="257">
        <v>484</v>
      </c>
      <c r="Y352" s="257">
        <v>-90</v>
      </c>
      <c r="Z352" s="257">
        <f t="shared" si="572"/>
        <v>394</v>
      </c>
    </row>
    <row r="353" spans="1:26" s="430" customFormat="1" ht="16.5" customHeight="1" x14ac:dyDescent="0.2">
      <c r="A353" s="259" t="s">
        <v>907</v>
      </c>
      <c r="B353" s="252" t="s">
        <v>343</v>
      </c>
      <c r="C353" s="271" t="s">
        <v>312</v>
      </c>
      <c r="D353" s="252" t="s">
        <v>196</v>
      </c>
      <c r="E353" s="260" t="s">
        <v>1296</v>
      </c>
      <c r="F353" s="252" t="s">
        <v>96</v>
      </c>
      <c r="G353" s="275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>
        <v>0</v>
      </c>
      <c r="S353" s="257">
        <f>400</f>
        <v>400</v>
      </c>
      <c r="T353" s="257">
        <f t="shared" ref="T353:T357" si="575">R353+S353</f>
        <v>400</v>
      </c>
      <c r="U353" s="257">
        <v>0</v>
      </c>
      <c r="V353" s="257">
        <v>0</v>
      </c>
      <c r="W353" s="257">
        <v>400</v>
      </c>
      <c r="X353" s="257">
        <v>0</v>
      </c>
      <c r="Y353" s="257">
        <v>400</v>
      </c>
      <c r="Z353" s="257">
        <f t="shared" si="572"/>
        <v>400</v>
      </c>
    </row>
    <row r="354" spans="1:26" s="430" customFormat="1" ht="35.25" customHeight="1" x14ac:dyDescent="0.2">
      <c r="A354" s="375" t="s">
        <v>898</v>
      </c>
      <c r="B354" s="382" t="s">
        <v>343</v>
      </c>
      <c r="C354" s="382" t="s">
        <v>190</v>
      </c>
      <c r="D354" s="382" t="s">
        <v>196</v>
      </c>
      <c r="E354" s="260" t="s">
        <v>1296</v>
      </c>
      <c r="F354" s="382" t="s">
        <v>896</v>
      </c>
      <c r="G354" s="275"/>
      <c r="H354" s="257"/>
      <c r="I354" s="257"/>
      <c r="J354" s="257"/>
      <c r="K354" s="257"/>
      <c r="L354" s="257"/>
      <c r="M354" s="257"/>
      <c r="N354" s="257"/>
      <c r="O354" s="257"/>
      <c r="P354" s="257"/>
      <c r="Q354" s="257"/>
      <c r="R354" s="257">
        <v>0</v>
      </c>
      <c r="S354" s="257">
        <f>120</f>
        <v>120</v>
      </c>
      <c r="T354" s="257">
        <f t="shared" si="575"/>
        <v>120</v>
      </c>
      <c r="U354" s="257">
        <v>0</v>
      </c>
      <c r="V354" s="257">
        <v>0</v>
      </c>
      <c r="W354" s="257">
        <v>120</v>
      </c>
      <c r="X354" s="257">
        <v>0</v>
      </c>
      <c r="Y354" s="257">
        <v>120</v>
      </c>
      <c r="Z354" s="257">
        <f t="shared" si="572"/>
        <v>120</v>
      </c>
    </row>
    <row r="355" spans="1:26" s="430" customFormat="1" ht="15" customHeight="1" x14ac:dyDescent="0.2">
      <c r="A355" s="259" t="s">
        <v>97</v>
      </c>
      <c r="B355" s="252" t="s">
        <v>343</v>
      </c>
      <c r="C355" s="271" t="s">
        <v>312</v>
      </c>
      <c r="D355" s="252" t="s">
        <v>196</v>
      </c>
      <c r="E355" s="260" t="s">
        <v>1022</v>
      </c>
      <c r="F355" s="252" t="s">
        <v>98</v>
      </c>
      <c r="G355" s="275"/>
      <c r="H355" s="257">
        <v>101</v>
      </c>
      <c r="I355" s="257">
        <v>0</v>
      </c>
      <c r="J355" s="257">
        <f>H355+I355</f>
        <v>101</v>
      </c>
      <c r="K355" s="257">
        <v>0</v>
      </c>
      <c r="L355" s="257">
        <v>80</v>
      </c>
      <c r="M355" s="257">
        <v>80</v>
      </c>
      <c r="N355" s="257">
        <v>0</v>
      </c>
      <c r="O355" s="257">
        <f t="shared" si="573"/>
        <v>80</v>
      </c>
      <c r="P355" s="257">
        <v>80</v>
      </c>
      <c r="Q355" s="257">
        <v>0</v>
      </c>
      <c r="R355" s="257">
        <f t="shared" si="574"/>
        <v>80</v>
      </c>
      <c r="S355" s="257">
        <v>-20</v>
      </c>
      <c r="T355" s="257">
        <f t="shared" si="575"/>
        <v>60</v>
      </c>
      <c r="U355" s="257">
        <v>0</v>
      </c>
      <c r="V355" s="257">
        <v>60</v>
      </c>
      <c r="W355" s="257">
        <v>0</v>
      </c>
      <c r="X355" s="257">
        <v>60</v>
      </c>
      <c r="Y355" s="257">
        <v>-30</v>
      </c>
      <c r="Z355" s="257">
        <f t="shared" si="572"/>
        <v>30</v>
      </c>
    </row>
    <row r="356" spans="1:26" s="430" customFormat="1" ht="19.5" hidden="1" customHeight="1" x14ac:dyDescent="0.2">
      <c r="A356" s="259" t="s">
        <v>99</v>
      </c>
      <c r="B356" s="252" t="s">
        <v>343</v>
      </c>
      <c r="C356" s="271" t="s">
        <v>312</v>
      </c>
      <c r="D356" s="252" t="s">
        <v>196</v>
      </c>
      <c r="E356" s="260" t="s">
        <v>1022</v>
      </c>
      <c r="F356" s="252" t="s">
        <v>100</v>
      </c>
      <c r="G356" s="275"/>
      <c r="H356" s="257">
        <v>95</v>
      </c>
      <c r="I356" s="257">
        <v>0</v>
      </c>
      <c r="J356" s="257">
        <f>H356+I356</f>
        <v>95</v>
      </c>
      <c r="K356" s="257">
        <v>0</v>
      </c>
      <c r="L356" s="257">
        <v>100</v>
      </c>
      <c r="M356" s="257">
        <v>100</v>
      </c>
      <c r="N356" s="257">
        <v>0</v>
      </c>
      <c r="O356" s="257">
        <f t="shared" si="573"/>
        <v>100</v>
      </c>
      <c r="P356" s="257">
        <v>100</v>
      </c>
      <c r="Q356" s="257">
        <v>0</v>
      </c>
      <c r="R356" s="257">
        <f t="shared" si="574"/>
        <v>100</v>
      </c>
      <c r="S356" s="257">
        <v>0</v>
      </c>
      <c r="T356" s="257">
        <f t="shared" si="575"/>
        <v>100</v>
      </c>
      <c r="U356" s="257">
        <v>0</v>
      </c>
      <c r="V356" s="257">
        <v>100</v>
      </c>
      <c r="W356" s="257">
        <v>-100</v>
      </c>
      <c r="X356" s="257">
        <v>0</v>
      </c>
      <c r="Y356" s="257">
        <v>0</v>
      </c>
      <c r="Z356" s="257">
        <f t="shared" si="572"/>
        <v>0</v>
      </c>
    </row>
    <row r="357" spans="1:26" s="430" customFormat="1" ht="20.25" customHeight="1" x14ac:dyDescent="0.2">
      <c r="A357" s="259" t="s">
        <v>93</v>
      </c>
      <c r="B357" s="252" t="s">
        <v>343</v>
      </c>
      <c r="C357" s="271" t="s">
        <v>312</v>
      </c>
      <c r="D357" s="252" t="s">
        <v>196</v>
      </c>
      <c r="E357" s="260" t="s">
        <v>1022</v>
      </c>
      <c r="F357" s="252" t="s">
        <v>94</v>
      </c>
      <c r="G357" s="275"/>
      <c r="H357" s="257">
        <v>150</v>
      </c>
      <c r="I357" s="257">
        <v>0</v>
      </c>
      <c r="J357" s="257">
        <f>H357+I357</f>
        <v>150</v>
      </c>
      <c r="K357" s="257">
        <v>0</v>
      </c>
      <c r="L357" s="257">
        <v>150</v>
      </c>
      <c r="M357" s="257">
        <v>150</v>
      </c>
      <c r="N357" s="257">
        <v>0</v>
      </c>
      <c r="O357" s="257">
        <f t="shared" si="573"/>
        <v>150</v>
      </c>
      <c r="P357" s="257">
        <v>150</v>
      </c>
      <c r="Q357" s="257">
        <v>0</v>
      </c>
      <c r="R357" s="257">
        <f t="shared" si="574"/>
        <v>150</v>
      </c>
      <c r="S357" s="257">
        <v>-50</v>
      </c>
      <c r="T357" s="257">
        <f t="shared" si="575"/>
        <v>100</v>
      </c>
      <c r="U357" s="257">
        <v>0</v>
      </c>
      <c r="V357" s="257">
        <v>100</v>
      </c>
      <c r="W357" s="257">
        <v>100</v>
      </c>
      <c r="X357" s="257">
        <v>200</v>
      </c>
      <c r="Y357" s="257">
        <v>0</v>
      </c>
      <c r="Z357" s="257">
        <f t="shared" si="572"/>
        <v>200</v>
      </c>
    </row>
    <row r="358" spans="1:26" s="430" customFormat="1" ht="49.5" customHeight="1" x14ac:dyDescent="0.2">
      <c r="A358" s="259" t="s">
        <v>1274</v>
      </c>
      <c r="B358" s="252" t="s">
        <v>343</v>
      </c>
      <c r="C358" s="249" t="s">
        <v>312</v>
      </c>
      <c r="D358" s="250" t="s">
        <v>196</v>
      </c>
      <c r="E358" s="365" t="s">
        <v>1275</v>
      </c>
      <c r="F358" s="250"/>
      <c r="G358" s="275"/>
      <c r="H358" s="275">
        <f t="shared" ref="H358:N358" si="576">H359+H360</f>
        <v>0</v>
      </c>
      <c r="I358" s="275">
        <f t="shared" si="576"/>
        <v>80.099999999999994</v>
      </c>
      <c r="J358" s="275">
        <f t="shared" si="576"/>
        <v>80.099999999999994</v>
      </c>
      <c r="K358" s="275">
        <f t="shared" si="576"/>
        <v>0</v>
      </c>
      <c r="L358" s="275">
        <f t="shared" si="576"/>
        <v>76.400000000000006</v>
      </c>
      <c r="M358" s="275">
        <f t="shared" si="576"/>
        <v>76.400000000000006</v>
      </c>
      <c r="N358" s="275">
        <f t="shared" si="576"/>
        <v>0</v>
      </c>
      <c r="O358" s="275">
        <f>O359+O360</f>
        <v>76.400000000000006</v>
      </c>
      <c r="P358" s="275">
        <f t="shared" ref="P358:R358" si="577">P359+P360</f>
        <v>0</v>
      </c>
      <c r="Q358" s="275">
        <f t="shared" si="577"/>
        <v>116.6</v>
      </c>
      <c r="R358" s="275">
        <f t="shared" si="577"/>
        <v>116.6</v>
      </c>
      <c r="S358" s="275">
        <f t="shared" ref="S358:T358" si="578">S359+S360</f>
        <v>-2.8</v>
      </c>
      <c r="T358" s="275">
        <f t="shared" si="578"/>
        <v>113.8</v>
      </c>
      <c r="U358" s="275">
        <f t="shared" ref="U358" si="579">U359+U360</f>
        <v>-4.2</v>
      </c>
      <c r="V358" s="275">
        <f>V359+V360+V361+V362</f>
        <v>109.6</v>
      </c>
      <c r="W358" s="275">
        <f t="shared" ref="W358" si="580">W359+W360+W361+W362</f>
        <v>7.1000000000000014</v>
      </c>
      <c r="X358" s="275">
        <f>X361+X362+X363+X364</f>
        <v>138.89999999999998</v>
      </c>
      <c r="Y358" s="275">
        <f t="shared" ref="Y358:Z358" si="581">Y361+Y362+Y363+Y364</f>
        <v>-31.700000000000003</v>
      </c>
      <c r="Z358" s="275">
        <f t="shared" si="581"/>
        <v>107.2</v>
      </c>
    </row>
    <row r="359" spans="1:26" s="430" customFormat="1" ht="20.25" hidden="1" customHeight="1" x14ac:dyDescent="0.2">
      <c r="A359" s="375" t="s">
        <v>907</v>
      </c>
      <c r="B359" s="252" t="s">
        <v>343</v>
      </c>
      <c r="C359" s="271" t="s">
        <v>312</v>
      </c>
      <c r="D359" s="252" t="s">
        <v>196</v>
      </c>
      <c r="E359" s="260" t="s">
        <v>788</v>
      </c>
      <c r="F359" s="252" t="s">
        <v>96</v>
      </c>
      <c r="G359" s="257"/>
      <c r="H359" s="257">
        <v>0</v>
      </c>
      <c r="I359" s="257">
        <v>61.4</v>
      </c>
      <c r="J359" s="257">
        <f>H359+I359</f>
        <v>61.4</v>
      </c>
      <c r="K359" s="257">
        <v>0.04</v>
      </c>
      <c r="L359" s="257">
        <v>58.7</v>
      </c>
      <c r="M359" s="257">
        <v>58.7</v>
      </c>
      <c r="N359" s="257">
        <v>0</v>
      </c>
      <c r="O359" s="257">
        <f>M359+N359</f>
        <v>58.7</v>
      </c>
      <c r="P359" s="257">
        <v>0</v>
      </c>
      <c r="Q359" s="257">
        <v>89.55</v>
      </c>
      <c r="R359" s="257">
        <f t="shared" ref="R359:R360" si="582">P359+Q359</f>
        <v>89.55</v>
      </c>
      <c r="S359" s="257">
        <v>-2.15</v>
      </c>
      <c r="T359" s="257">
        <f t="shared" ref="T359:T360" si="583">R359+S359</f>
        <v>87.399999999999991</v>
      </c>
      <c r="U359" s="257">
        <v>-3.2</v>
      </c>
      <c r="V359" s="257">
        <v>84.2</v>
      </c>
      <c r="W359" s="257">
        <v>-84.2</v>
      </c>
      <c r="X359" s="257">
        <v>89.63</v>
      </c>
      <c r="Y359" s="257">
        <v>-89.63</v>
      </c>
      <c r="Z359" s="257">
        <f t="shared" ref="Z359:Z362" si="584">X359+Y359</f>
        <v>0</v>
      </c>
    </row>
    <row r="360" spans="1:26" s="430" customFormat="1" ht="31.5" hidden="1" customHeight="1" x14ac:dyDescent="0.2">
      <c r="A360" s="375" t="s">
        <v>898</v>
      </c>
      <c r="B360" s="252" t="s">
        <v>343</v>
      </c>
      <c r="C360" s="271" t="s">
        <v>312</v>
      </c>
      <c r="D360" s="252" t="s">
        <v>196</v>
      </c>
      <c r="E360" s="260" t="s">
        <v>788</v>
      </c>
      <c r="F360" s="252" t="s">
        <v>896</v>
      </c>
      <c r="G360" s="257"/>
      <c r="H360" s="257">
        <v>0</v>
      </c>
      <c r="I360" s="257">
        <v>18.7</v>
      </c>
      <c r="J360" s="257">
        <f>H360+I360</f>
        <v>18.7</v>
      </c>
      <c r="K360" s="257">
        <v>-0.04</v>
      </c>
      <c r="L360" s="257">
        <v>17.7</v>
      </c>
      <c r="M360" s="257">
        <v>17.7</v>
      </c>
      <c r="N360" s="257">
        <v>0</v>
      </c>
      <c r="O360" s="257">
        <f>M360+N360</f>
        <v>17.7</v>
      </c>
      <c r="P360" s="257">
        <v>0</v>
      </c>
      <c r="Q360" s="257">
        <v>27.05</v>
      </c>
      <c r="R360" s="257">
        <f t="shared" si="582"/>
        <v>27.05</v>
      </c>
      <c r="S360" s="257">
        <v>-0.65</v>
      </c>
      <c r="T360" s="257">
        <f t="shared" si="583"/>
        <v>26.400000000000002</v>
      </c>
      <c r="U360" s="257">
        <v>-1</v>
      </c>
      <c r="V360" s="257">
        <v>25.4</v>
      </c>
      <c r="W360" s="257">
        <v>-25.4</v>
      </c>
      <c r="X360" s="257">
        <v>27.07</v>
      </c>
      <c r="Y360" s="257">
        <v>-27.07</v>
      </c>
      <c r="Z360" s="257">
        <f t="shared" si="584"/>
        <v>0</v>
      </c>
    </row>
    <row r="361" spans="1:26" s="430" customFormat="1" ht="15.75" customHeight="1" x14ac:dyDescent="0.2">
      <c r="A361" s="375" t="s">
        <v>907</v>
      </c>
      <c r="B361" s="252" t="s">
        <v>343</v>
      </c>
      <c r="C361" s="271" t="s">
        <v>312</v>
      </c>
      <c r="D361" s="252" t="s">
        <v>196</v>
      </c>
      <c r="E361" s="260" t="s">
        <v>1180</v>
      </c>
      <c r="F361" s="252" t="s">
        <v>96</v>
      </c>
      <c r="G361" s="257"/>
      <c r="H361" s="257">
        <v>0</v>
      </c>
      <c r="I361" s="257">
        <v>61.4</v>
      </c>
      <c r="J361" s="257">
        <v>61.4</v>
      </c>
      <c r="K361" s="257">
        <v>0.04</v>
      </c>
      <c r="L361" s="257">
        <v>58.7</v>
      </c>
      <c r="M361" s="257">
        <v>58.7</v>
      </c>
      <c r="N361" s="257">
        <v>0</v>
      </c>
      <c r="O361" s="257">
        <v>58.7</v>
      </c>
      <c r="P361" s="257">
        <v>0</v>
      </c>
      <c r="Q361" s="257">
        <v>89.55</v>
      </c>
      <c r="R361" s="257">
        <v>89.55</v>
      </c>
      <c r="S361" s="257">
        <v>-2.15</v>
      </c>
      <c r="T361" s="257">
        <v>87.399999999999991</v>
      </c>
      <c r="U361" s="257">
        <v>-3.2</v>
      </c>
      <c r="V361" s="257">
        <v>0</v>
      </c>
      <c r="W361" s="257">
        <v>89.63</v>
      </c>
      <c r="X361" s="257">
        <v>106.67999999999999</v>
      </c>
      <c r="Y361" s="257">
        <v>-106.68</v>
      </c>
      <c r="Z361" s="257">
        <f t="shared" si="584"/>
        <v>0</v>
      </c>
    </row>
    <row r="362" spans="1:26" s="430" customFormat="1" ht="31.5" customHeight="1" x14ac:dyDescent="0.2">
      <c r="A362" s="375" t="s">
        <v>898</v>
      </c>
      <c r="B362" s="252" t="s">
        <v>343</v>
      </c>
      <c r="C362" s="271" t="s">
        <v>312</v>
      </c>
      <c r="D362" s="252" t="s">
        <v>196</v>
      </c>
      <c r="E362" s="260" t="s">
        <v>1180</v>
      </c>
      <c r="F362" s="252" t="s">
        <v>896</v>
      </c>
      <c r="G362" s="257"/>
      <c r="H362" s="257">
        <v>0</v>
      </c>
      <c r="I362" s="257">
        <v>18.7</v>
      </c>
      <c r="J362" s="257">
        <v>18.7</v>
      </c>
      <c r="K362" s="257">
        <v>-0.04</v>
      </c>
      <c r="L362" s="257">
        <v>17.7</v>
      </c>
      <c r="M362" s="257">
        <v>17.7</v>
      </c>
      <c r="N362" s="257">
        <v>0</v>
      </c>
      <c r="O362" s="257">
        <v>17.7</v>
      </c>
      <c r="P362" s="257">
        <v>0</v>
      </c>
      <c r="Q362" s="257">
        <v>27.05</v>
      </c>
      <c r="R362" s="257">
        <v>27.05</v>
      </c>
      <c r="S362" s="257">
        <v>-0.65</v>
      </c>
      <c r="T362" s="257">
        <v>26.400000000000002</v>
      </c>
      <c r="U362" s="257">
        <v>-1</v>
      </c>
      <c r="V362" s="257">
        <v>0</v>
      </c>
      <c r="W362" s="257">
        <v>27.07</v>
      </c>
      <c r="X362" s="257">
        <v>32.22</v>
      </c>
      <c r="Y362" s="257">
        <v>-32.22</v>
      </c>
      <c r="Z362" s="257">
        <f t="shared" si="584"/>
        <v>0</v>
      </c>
    </row>
    <row r="363" spans="1:26" s="430" customFormat="1" ht="17.25" customHeight="1" x14ac:dyDescent="0.2">
      <c r="A363" s="375" t="s">
        <v>907</v>
      </c>
      <c r="B363" s="252" t="s">
        <v>343</v>
      </c>
      <c r="C363" s="271" t="s">
        <v>312</v>
      </c>
      <c r="D363" s="252" t="s">
        <v>196</v>
      </c>
      <c r="E363" s="260" t="s">
        <v>1275</v>
      </c>
      <c r="F363" s="252" t="s">
        <v>96</v>
      </c>
      <c r="G363" s="257"/>
      <c r="H363" s="257">
        <v>0</v>
      </c>
      <c r="I363" s="257">
        <v>61.4</v>
      </c>
      <c r="J363" s="257">
        <v>61.4</v>
      </c>
      <c r="K363" s="257">
        <v>0.04</v>
      </c>
      <c r="L363" s="257">
        <v>58.7</v>
      </c>
      <c r="M363" s="257">
        <v>58.7</v>
      </c>
      <c r="N363" s="257">
        <v>0</v>
      </c>
      <c r="O363" s="257">
        <v>58.7</v>
      </c>
      <c r="P363" s="257">
        <v>0</v>
      </c>
      <c r="Q363" s="257">
        <v>89.55</v>
      </c>
      <c r="R363" s="257">
        <v>89.55</v>
      </c>
      <c r="S363" s="257">
        <v>-2.15</v>
      </c>
      <c r="T363" s="257">
        <v>87.399999999999991</v>
      </c>
      <c r="U363" s="257">
        <v>-3.2</v>
      </c>
      <c r="V363" s="257">
        <v>0</v>
      </c>
      <c r="W363" s="257">
        <v>89.63</v>
      </c>
      <c r="X363" s="257">
        <v>0</v>
      </c>
      <c r="Y363" s="257">
        <v>82.34</v>
      </c>
      <c r="Z363" s="257">
        <f t="shared" ref="Z363:Z364" si="585">X363+Y363</f>
        <v>82.34</v>
      </c>
    </row>
    <row r="364" spans="1:26" s="430" customFormat="1" ht="31.5" customHeight="1" x14ac:dyDescent="0.2">
      <c r="A364" s="375" t="s">
        <v>898</v>
      </c>
      <c r="B364" s="252" t="s">
        <v>343</v>
      </c>
      <c r="C364" s="271" t="s">
        <v>312</v>
      </c>
      <c r="D364" s="252" t="s">
        <v>196</v>
      </c>
      <c r="E364" s="260" t="s">
        <v>1275</v>
      </c>
      <c r="F364" s="252" t="s">
        <v>896</v>
      </c>
      <c r="G364" s="257"/>
      <c r="H364" s="257">
        <v>0</v>
      </c>
      <c r="I364" s="257">
        <v>18.7</v>
      </c>
      <c r="J364" s="257">
        <v>18.7</v>
      </c>
      <c r="K364" s="257">
        <v>-0.04</v>
      </c>
      <c r="L364" s="257">
        <v>17.7</v>
      </c>
      <c r="M364" s="257">
        <v>17.7</v>
      </c>
      <c r="N364" s="257">
        <v>0</v>
      </c>
      <c r="O364" s="257">
        <v>17.7</v>
      </c>
      <c r="P364" s="257">
        <v>0</v>
      </c>
      <c r="Q364" s="257">
        <v>27.05</v>
      </c>
      <c r="R364" s="257">
        <v>27.05</v>
      </c>
      <c r="S364" s="257">
        <v>-0.65</v>
      </c>
      <c r="T364" s="257">
        <v>26.400000000000002</v>
      </c>
      <c r="U364" s="257">
        <v>-1</v>
      </c>
      <c r="V364" s="257">
        <v>0</v>
      </c>
      <c r="W364" s="257">
        <v>27.07</v>
      </c>
      <c r="X364" s="257">
        <v>0</v>
      </c>
      <c r="Y364" s="257">
        <v>24.86</v>
      </c>
      <c r="Z364" s="257">
        <f t="shared" si="585"/>
        <v>24.86</v>
      </c>
    </row>
    <row r="365" spans="1:26" ht="31.5" customHeight="1" x14ac:dyDescent="0.2">
      <c r="A365" s="462" t="s">
        <v>199</v>
      </c>
      <c r="B365" s="250" t="s">
        <v>343</v>
      </c>
      <c r="C365" s="250" t="s">
        <v>190</v>
      </c>
      <c r="D365" s="250" t="s">
        <v>200</v>
      </c>
      <c r="E365" s="250"/>
      <c r="F365" s="250"/>
      <c r="G365" s="275">
        <f>G385+G394</f>
        <v>0</v>
      </c>
      <c r="H365" s="275">
        <f>H394</f>
        <v>5345</v>
      </c>
      <c r="I365" s="275">
        <f>I394</f>
        <v>0</v>
      </c>
      <c r="J365" s="275">
        <f>J394</f>
        <v>5345</v>
      </c>
      <c r="K365" s="275">
        <f>K394</f>
        <v>-199</v>
      </c>
      <c r="L365" s="275">
        <f t="shared" ref="L365:Q365" si="586">L395+L396+L399+L400+L401+L403+L404+L405</f>
        <v>5920</v>
      </c>
      <c r="M365" s="275">
        <f t="shared" si="586"/>
        <v>5920</v>
      </c>
      <c r="N365" s="275">
        <f t="shared" si="586"/>
        <v>0</v>
      </c>
      <c r="O365" s="275">
        <f t="shared" si="586"/>
        <v>5920</v>
      </c>
      <c r="P365" s="275">
        <f t="shared" si="586"/>
        <v>5920</v>
      </c>
      <c r="Q365" s="275">
        <f t="shared" si="586"/>
        <v>-20</v>
      </c>
      <c r="R365" s="275">
        <f>R395+R396+R399+R400+R401+R403+R404+R405+R397+R398</f>
        <v>5900</v>
      </c>
      <c r="S365" s="275">
        <f>S395+S396+S399+S400+S401+S403+S404+S405+S397+S398</f>
        <v>1036.2</v>
      </c>
      <c r="T365" s="275">
        <f>T394</f>
        <v>4947</v>
      </c>
      <c r="U365" s="275">
        <f t="shared" ref="U365:V365" si="587">U394</f>
        <v>2714</v>
      </c>
      <c r="V365" s="275">
        <f t="shared" si="587"/>
        <v>4947</v>
      </c>
      <c r="W365" s="275">
        <f t="shared" ref="W365:X365" si="588">W394</f>
        <v>244</v>
      </c>
      <c r="X365" s="275">
        <f t="shared" si="588"/>
        <v>4689.6000000000004</v>
      </c>
      <c r="Y365" s="275">
        <f t="shared" ref="Y365:Z365" si="589">Y394</f>
        <v>542</v>
      </c>
      <c r="Z365" s="275">
        <f t="shared" si="589"/>
        <v>5231.6000000000004</v>
      </c>
    </row>
    <row r="366" spans="1:26" ht="30.75" hidden="1" customHeight="1" x14ac:dyDescent="0.2">
      <c r="A366" s="259" t="s">
        <v>123</v>
      </c>
      <c r="B366" s="252" t="s">
        <v>343</v>
      </c>
      <c r="C366" s="252" t="s">
        <v>190</v>
      </c>
      <c r="D366" s="252" t="s">
        <v>200</v>
      </c>
      <c r="E366" s="260" t="s">
        <v>332</v>
      </c>
      <c r="F366" s="252"/>
      <c r="G366" s="257"/>
      <c r="H366" s="257"/>
      <c r="I366" s="257">
        <f>I367</f>
        <v>-4855</v>
      </c>
      <c r="J366" s="257">
        <f>J367</f>
        <v>-4855</v>
      </c>
      <c r="K366" s="257">
        <f>K367</f>
        <v>-4855</v>
      </c>
      <c r="L366" s="257">
        <f>L367</f>
        <v>-4855</v>
      </c>
      <c r="M366" s="257">
        <f>M367</f>
        <v>-9710</v>
      </c>
      <c r="N366" s="257">
        <f t="shared" ref="N366:Z366" si="590">N367</f>
        <v>-9710</v>
      </c>
      <c r="O366" s="257">
        <f t="shared" si="590"/>
        <v>-14565</v>
      </c>
      <c r="P366" s="257">
        <f t="shared" si="590"/>
        <v>-14565</v>
      </c>
      <c r="Q366" s="257">
        <f t="shared" si="590"/>
        <v>-24275</v>
      </c>
      <c r="R366" s="257">
        <f t="shared" si="590"/>
        <v>-24275</v>
      </c>
      <c r="S366" s="257">
        <f t="shared" si="590"/>
        <v>-38840</v>
      </c>
      <c r="T366" s="257">
        <f t="shared" si="590"/>
        <v>-38840</v>
      </c>
      <c r="U366" s="257">
        <f t="shared" si="590"/>
        <v>-63115</v>
      </c>
      <c r="V366" s="257">
        <f t="shared" si="590"/>
        <v>-63115</v>
      </c>
      <c r="W366" s="257">
        <f t="shared" si="590"/>
        <v>-101955</v>
      </c>
      <c r="X366" s="257">
        <f t="shared" si="590"/>
        <v>-101955</v>
      </c>
      <c r="Y366" s="257">
        <f t="shared" si="590"/>
        <v>-165070</v>
      </c>
      <c r="Z366" s="257">
        <f t="shared" si="590"/>
        <v>-165070</v>
      </c>
    </row>
    <row r="367" spans="1:26" hidden="1" x14ac:dyDescent="0.2">
      <c r="A367" s="259" t="s">
        <v>333</v>
      </c>
      <c r="B367" s="252" t="s">
        <v>343</v>
      </c>
      <c r="C367" s="252" t="s">
        <v>190</v>
      </c>
      <c r="D367" s="252" t="s">
        <v>200</v>
      </c>
      <c r="E367" s="260" t="s">
        <v>334</v>
      </c>
      <c r="F367" s="252"/>
      <c r="G367" s="257"/>
      <c r="H367" s="257"/>
      <c r="I367" s="257">
        <f>I368+I369+I372+I373+I384</f>
        <v>-4855</v>
      </c>
      <c r="J367" s="257">
        <f>J368+J369+J372+J373+J384</f>
        <v>-4855</v>
      </c>
      <c r="K367" s="257">
        <f>K368+K369+K372+K373+K384</f>
        <v>-4855</v>
      </c>
      <c r="L367" s="257">
        <f>L368+L369+L372+L373+L384</f>
        <v>-4855</v>
      </c>
      <c r="M367" s="257">
        <f>M368+M369+M372+M373+M384</f>
        <v>-9710</v>
      </c>
      <c r="N367" s="257">
        <f t="shared" ref="N367:R367" si="591">N368+N369+N372+N373+N384</f>
        <v>-9710</v>
      </c>
      <c r="O367" s="257">
        <f t="shared" si="591"/>
        <v>-14565</v>
      </c>
      <c r="P367" s="257">
        <f t="shared" si="591"/>
        <v>-14565</v>
      </c>
      <c r="Q367" s="257">
        <f t="shared" si="591"/>
        <v>-24275</v>
      </c>
      <c r="R367" s="257">
        <f t="shared" si="591"/>
        <v>-24275</v>
      </c>
      <c r="S367" s="257">
        <f t="shared" ref="S367:T367" si="592">S368+S369+S372+S373+S384</f>
        <v>-38840</v>
      </c>
      <c r="T367" s="257">
        <f t="shared" si="592"/>
        <v>-38840</v>
      </c>
      <c r="U367" s="257">
        <f t="shared" ref="U367:V367" si="593">U368+U369+U372+U373+U384</f>
        <v>-63115</v>
      </c>
      <c r="V367" s="257">
        <f t="shared" si="593"/>
        <v>-63115</v>
      </c>
      <c r="W367" s="257">
        <f t="shared" ref="W367:X367" si="594">W368+W369+W372+W373+W384</f>
        <v>-101955</v>
      </c>
      <c r="X367" s="257">
        <f t="shared" si="594"/>
        <v>-101955</v>
      </c>
      <c r="Y367" s="257">
        <f t="shared" ref="Y367:Z367" si="595">Y368+Y369+Y372+Y373+Y384</f>
        <v>-165070</v>
      </c>
      <c r="Z367" s="257">
        <f t="shared" si="595"/>
        <v>-165070</v>
      </c>
    </row>
    <row r="368" spans="1:26" hidden="1" x14ac:dyDescent="0.2">
      <c r="A368" s="259" t="s">
        <v>95</v>
      </c>
      <c r="B368" s="252" t="s">
        <v>343</v>
      </c>
      <c r="C368" s="252" t="s">
        <v>190</v>
      </c>
      <c r="D368" s="252" t="s">
        <v>200</v>
      </c>
      <c r="E368" s="260" t="s">
        <v>334</v>
      </c>
      <c r="F368" s="252" t="s">
        <v>96</v>
      </c>
      <c r="G368" s="257"/>
      <c r="H368" s="257"/>
      <c r="I368" s="257">
        <v>-4000</v>
      </c>
      <c r="J368" s="257">
        <f t="shared" ref="J368:J384" si="596">G368+I368</f>
        <v>-4000</v>
      </c>
      <c r="K368" s="257">
        <v>-4000</v>
      </c>
      <c r="L368" s="257">
        <f t="shared" ref="L368:R384" si="597">H368+J368</f>
        <v>-4000</v>
      </c>
      <c r="M368" s="257">
        <f t="shared" si="597"/>
        <v>-8000</v>
      </c>
      <c r="N368" s="257">
        <f t="shared" si="597"/>
        <v>-8000</v>
      </c>
      <c r="O368" s="257">
        <f t="shared" si="597"/>
        <v>-12000</v>
      </c>
      <c r="P368" s="257">
        <f t="shared" si="597"/>
        <v>-12000</v>
      </c>
      <c r="Q368" s="257">
        <f t="shared" si="597"/>
        <v>-20000</v>
      </c>
      <c r="R368" s="257">
        <f t="shared" si="597"/>
        <v>-20000</v>
      </c>
      <c r="S368" s="257">
        <f t="shared" ref="S368:S384" si="598">O368+Q368</f>
        <v>-32000</v>
      </c>
      <c r="T368" s="257">
        <f t="shared" ref="T368:T384" si="599">P368+R368</f>
        <v>-32000</v>
      </c>
      <c r="U368" s="257">
        <f t="shared" ref="U368:U384" si="600">Q368+S368</f>
        <v>-52000</v>
      </c>
      <c r="V368" s="257">
        <f t="shared" ref="V368:V384" si="601">R368+T368</f>
        <v>-52000</v>
      </c>
      <c r="W368" s="257">
        <f t="shared" ref="W368:W384" si="602">S368+U368</f>
        <v>-84000</v>
      </c>
      <c r="X368" s="257">
        <f t="shared" ref="X368:X384" si="603">T368+V368</f>
        <v>-84000</v>
      </c>
      <c r="Y368" s="257">
        <f t="shared" ref="Y368:Y384" si="604">U368+W368</f>
        <v>-136000</v>
      </c>
      <c r="Z368" s="257">
        <f t="shared" ref="Z368:Z384" si="605">V368+X368</f>
        <v>-136000</v>
      </c>
    </row>
    <row r="369" spans="1:26" hidden="1" x14ac:dyDescent="0.2">
      <c r="A369" s="259" t="s">
        <v>97</v>
      </c>
      <c r="B369" s="252" t="s">
        <v>343</v>
      </c>
      <c r="C369" s="252" t="s">
        <v>190</v>
      </c>
      <c r="D369" s="252" t="s">
        <v>200</v>
      </c>
      <c r="E369" s="260" t="s">
        <v>334</v>
      </c>
      <c r="F369" s="252" t="s">
        <v>98</v>
      </c>
      <c r="G369" s="257"/>
      <c r="H369" s="257"/>
      <c r="I369" s="257">
        <v>-98</v>
      </c>
      <c r="J369" s="257">
        <f t="shared" si="596"/>
        <v>-98</v>
      </c>
      <c r="K369" s="257">
        <v>-98</v>
      </c>
      <c r="L369" s="257">
        <f t="shared" si="597"/>
        <v>-98</v>
      </c>
      <c r="M369" s="257">
        <f t="shared" si="597"/>
        <v>-196</v>
      </c>
      <c r="N369" s="257">
        <f t="shared" si="597"/>
        <v>-196</v>
      </c>
      <c r="O369" s="257">
        <f t="shared" si="597"/>
        <v>-294</v>
      </c>
      <c r="P369" s="257">
        <f t="shared" si="597"/>
        <v>-294</v>
      </c>
      <c r="Q369" s="257">
        <f t="shared" si="597"/>
        <v>-490</v>
      </c>
      <c r="R369" s="257">
        <f t="shared" si="597"/>
        <v>-490</v>
      </c>
      <c r="S369" s="257">
        <f t="shared" si="598"/>
        <v>-784</v>
      </c>
      <c r="T369" s="257">
        <f t="shared" si="599"/>
        <v>-784</v>
      </c>
      <c r="U369" s="257">
        <f t="shared" si="600"/>
        <v>-1274</v>
      </c>
      <c r="V369" s="257">
        <f t="shared" si="601"/>
        <v>-1274</v>
      </c>
      <c r="W369" s="257">
        <f t="shared" si="602"/>
        <v>-2058</v>
      </c>
      <c r="X369" s="257">
        <f t="shared" si="603"/>
        <v>-2058</v>
      </c>
      <c r="Y369" s="257">
        <f t="shared" si="604"/>
        <v>-3332</v>
      </c>
      <c r="Z369" s="257">
        <f t="shared" si="605"/>
        <v>-3332</v>
      </c>
    </row>
    <row r="370" spans="1:26" ht="25.5" hidden="1" customHeight="1" x14ac:dyDescent="0.2">
      <c r="A370" s="259" t="s">
        <v>99</v>
      </c>
      <c r="B370" s="252" t="s">
        <v>343</v>
      </c>
      <c r="C370" s="252" t="s">
        <v>190</v>
      </c>
      <c r="D370" s="252" t="s">
        <v>200</v>
      </c>
      <c r="E370" s="260" t="s">
        <v>334</v>
      </c>
      <c r="F370" s="252" t="s">
        <v>100</v>
      </c>
      <c r="G370" s="257"/>
      <c r="H370" s="257"/>
      <c r="I370" s="257" t="e">
        <f>#REF!+G370</f>
        <v>#REF!</v>
      </c>
      <c r="J370" s="257" t="e">
        <f t="shared" si="596"/>
        <v>#REF!</v>
      </c>
      <c r="K370" s="257" t="e">
        <f>H370+I370</f>
        <v>#REF!</v>
      </c>
      <c r="L370" s="257" t="e">
        <f t="shared" si="597"/>
        <v>#REF!</v>
      </c>
      <c r="M370" s="257" t="e">
        <f t="shared" si="597"/>
        <v>#REF!</v>
      </c>
      <c r="N370" s="257" t="e">
        <f t="shared" si="597"/>
        <v>#REF!</v>
      </c>
      <c r="O370" s="257" t="e">
        <f t="shared" si="597"/>
        <v>#REF!</v>
      </c>
      <c r="P370" s="257" t="e">
        <f t="shared" si="597"/>
        <v>#REF!</v>
      </c>
      <c r="Q370" s="257" t="e">
        <f t="shared" si="597"/>
        <v>#REF!</v>
      </c>
      <c r="R370" s="257" t="e">
        <f t="shared" si="597"/>
        <v>#REF!</v>
      </c>
      <c r="S370" s="257" t="e">
        <f t="shared" si="598"/>
        <v>#REF!</v>
      </c>
      <c r="T370" s="257" t="e">
        <f t="shared" si="599"/>
        <v>#REF!</v>
      </c>
      <c r="U370" s="257" t="e">
        <f t="shared" si="600"/>
        <v>#REF!</v>
      </c>
      <c r="V370" s="257" t="e">
        <f t="shared" si="601"/>
        <v>#REF!</v>
      </c>
      <c r="W370" s="257" t="e">
        <f t="shared" si="602"/>
        <v>#REF!</v>
      </c>
      <c r="X370" s="257" t="e">
        <f t="shared" si="603"/>
        <v>#REF!</v>
      </c>
      <c r="Y370" s="257" t="e">
        <f t="shared" si="604"/>
        <v>#REF!</v>
      </c>
      <c r="Z370" s="257" t="e">
        <f t="shared" si="605"/>
        <v>#REF!</v>
      </c>
    </row>
    <row r="371" spans="1:26" ht="25.5" hidden="1" customHeight="1" x14ac:dyDescent="0.2">
      <c r="A371" s="259" t="s">
        <v>101</v>
      </c>
      <c r="B371" s="252" t="s">
        <v>343</v>
      </c>
      <c r="C371" s="252" t="s">
        <v>190</v>
      </c>
      <c r="D371" s="252" t="s">
        <v>200</v>
      </c>
      <c r="E371" s="260" t="s">
        <v>334</v>
      </c>
      <c r="F371" s="252" t="s">
        <v>102</v>
      </c>
      <c r="G371" s="257"/>
      <c r="H371" s="257"/>
      <c r="I371" s="257" t="e">
        <f>#REF!+G371</f>
        <v>#REF!</v>
      </c>
      <c r="J371" s="257" t="e">
        <f t="shared" si="596"/>
        <v>#REF!</v>
      </c>
      <c r="K371" s="257" t="e">
        <f>H371+I371</f>
        <v>#REF!</v>
      </c>
      <c r="L371" s="257" t="e">
        <f t="shared" si="597"/>
        <v>#REF!</v>
      </c>
      <c r="M371" s="257" t="e">
        <f t="shared" si="597"/>
        <v>#REF!</v>
      </c>
      <c r="N371" s="257" t="e">
        <f t="shared" si="597"/>
        <v>#REF!</v>
      </c>
      <c r="O371" s="257" t="e">
        <f t="shared" si="597"/>
        <v>#REF!</v>
      </c>
      <c r="P371" s="257" t="e">
        <f t="shared" si="597"/>
        <v>#REF!</v>
      </c>
      <c r="Q371" s="257" t="e">
        <f t="shared" si="597"/>
        <v>#REF!</v>
      </c>
      <c r="R371" s="257" t="e">
        <f t="shared" si="597"/>
        <v>#REF!</v>
      </c>
      <c r="S371" s="257" t="e">
        <f t="shared" si="598"/>
        <v>#REF!</v>
      </c>
      <c r="T371" s="257" t="e">
        <f t="shared" si="599"/>
        <v>#REF!</v>
      </c>
      <c r="U371" s="257" t="e">
        <f t="shared" si="600"/>
        <v>#REF!</v>
      </c>
      <c r="V371" s="257" t="e">
        <f t="shared" si="601"/>
        <v>#REF!</v>
      </c>
      <c r="W371" s="257" t="e">
        <f t="shared" si="602"/>
        <v>#REF!</v>
      </c>
      <c r="X371" s="257" t="e">
        <f t="shared" si="603"/>
        <v>#REF!</v>
      </c>
      <c r="Y371" s="257" t="e">
        <f t="shared" si="604"/>
        <v>#REF!</v>
      </c>
      <c r="Z371" s="257" t="e">
        <f t="shared" si="605"/>
        <v>#REF!</v>
      </c>
    </row>
    <row r="372" spans="1:26" ht="15.75" hidden="1" customHeight="1" x14ac:dyDescent="0.2">
      <c r="A372" s="259" t="s">
        <v>99</v>
      </c>
      <c r="B372" s="252" t="s">
        <v>343</v>
      </c>
      <c r="C372" s="252" t="s">
        <v>190</v>
      </c>
      <c r="D372" s="252" t="s">
        <v>200</v>
      </c>
      <c r="E372" s="260" t="s">
        <v>334</v>
      </c>
      <c r="F372" s="252" t="s">
        <v>100</v>
      </c>
      <c r="G372" s="257"/>
      <c r="H372" s="257"/>
      <c r="I372" s="257">
        <v>-340</v>
      </c>
      <c r="J372" s="257">
        <f t="shared" si="596"/>
        <v>-340</v>
      </c>
      <c r="K372" s="257">
        <v>-340</v>
      </c>
      <c r="L372" s="257">
        <f t="shared" si="597"/>
        <v>-340</v>
      </c>
      <c r="M372" s="257">
        <f t="shared" si="597"/>
        <v>-680</v>
      </c>
      <c r="N372" s="257">
        <f t="shared" si="597"/>
        <v>-680</v>
      </c>
      <c r="O372" s="257">
        <f t="shared" si="597"/>
        <v>-1020</v>
      </c>
      <c r="P372" s="257">
        <f t="shared" si="597"/>
        <v>-1020</v>
      </c>
      <c r="Q372" s="257">
        <f t="shared" si="597"/>
        <v>-1700</v>
      </c>
      <c r="R372" s="257">
        <f t="shared" si="597"/>
        <v>-1700</v>
      </c>
      <c r="S372" s="257">
        <f t="shared" si="598"/>
        <v>-2720</v>
      </c>
      <c r="T372" s="257">
        <f t="shared" si="599"/>
        <v>-2720</v>
      </c>
      <c r="U372" s="257">
        <f t="shared" si="600"/>
        <v>-4420</v>
      </c>
      <c r="V372" s="257">
        <f t="shared" si="601"/>
        <v>-4420</v>
      </c>
      <c r="W372" s="257">
        <f t="shared" si="602"/>
        <v>-7140</v>
      </c>
      <c r="X372" s="257">
        <f t="shared" si="603"/>
        <v>-7140</v>
      </c>
      <c r="Y372" s="257">
        <f t="shared" si="604"/>
        <v>-11560</v>
      </c>
      <c r="Z372" s="257">
        <f t="shared" si="605"/>
        <v>-11560</v>
      </c>
    </row>
    <row r="373" spans="1:26" ht="18" hidden="1" customHeight="1" x14ac:dyDescent="0.2">
      <c r="A373" s="259" t="s">
        <v>93</v>
      </c>
      <c r="B373" s="252" t="s">
        <v>343</v>
      </c>
      <c r="C373" s="252" t="s">
        <v>190</v>
      </c>
      <c r="D373" s="252" t="s">
        <v>200</v>
      </c>
      <c r="E373" s="260" t="s">
        <v>334</v>
      </c>
      <c r="F373" s="252" t="s">
        <v>94</v>
      </c>
      <c r="G373" s="257"/>
      <c r="H373" s="257"/>
      <c r="I373" s="257">
        <v>-347</v>
      </c>
      <c r="J373" s="257">
        <f t="shared" si="596"/>
        <v>-347</v>
      </c>
      <c r="K373" s="257">
        <v>-347</v>
      </c>
      <c r="L373" s="257">
        <f t="shared" si="597"/>
        <v>-347</v>
      </c>
      <c r="M373" s="257">
        <f t="shared" si="597"/>
        <v>-694</v>
      </c>
      <c r="N373" s="257">
        <f t="shared" si="597"/>
        <v>-694</v>
      </c>
      <c r="O373" s="257">
        <f t="shared" si="597"/>
        <v>-1041</v>
      </c>
      <c r="P373" s="257">
        <f t="shared" si="597"/>
        <v>-1041</v>
      </c>
      <c r="Q373" s="257">
        <f t="shared" si="597"/>
        <v>-1735</v>
      </c>
      <c r="R373" s="257">
        <f t="shared" si="597"/>
        <v>-1735</v>
      </c>
      <c r="S373" s="257">
        <f t="shared" si="598"/>
        <v>-2776</v>
      </c>
      <c r="T373" s="257">
        <f t="shared" si="599"/>
        <v>-2776</v>
      </c>
      <c r="U373" s="257">
        <f t="shared" si="600"/>
        <v>-4511</v>
      </c>
      <c r="V373" s="257">
        <f t="shared" si="601"/>
        <v>-4511</v>
      </c>
      <c r="W373" s="257">
        <f t="shared" si="602"/>
        <v>-7287</v>
      </c>
      <c r="X373" s="257">
        <f t="shared" si="603"/>
        <v>-7287</v>
      </c>
      <c r="Y373" s="257">
        <f t="shared" si="604"/>
        <v>-11798</v>
      </c>
      <c r="Z373" s="257">
        <f t="shared" si="605"/>
        <v>-11798</v>
      </c>
    </row>
    <row r="374" spans="1:26" ht="12.75" hidden="1" customHeight="1" x14ac:dyDescent="0.2">
      <c r="A374" s="259" t="s">
        <v>63</v>
      </c>
      <c r="B374" s="252" t="s">
        <v>343</v>
      </c>
      <c r="C374" s="252" t="s">
        <v>190</v>
      </c>
      <c r="D374" s="252" t="s">
        <v>200</v>
      </c>
      <c r="E374" s="260" t="s">
        <v>334</v>
      </c>
      <c r="F374" s="252" t="s">
        <v>64</v>
      </c>
      <c r="G374" s="257"/>
      <c r="H374" s="257"/>
      <c r="I374" s="257" t="e">
        <f>#REF!+G374</f>
        <v>#REF!</v>
      </c>
      <c r="J374" s="257" t="e">
        <f t="shared" si="596"/>
        <v>#REF!</v>
      </c>
      <c r="K374" s="257" t="e">
        <f t="shared" ref="K374:K383" si="606">H374+I374</f>
        <v>#REF!</v>
      </c>
      <c r="L374" s="257" t="e">
        <f t="shared" si="597"/>
        <v>#REF!</v>
      </c>
      <c r="M374" s="257" t="e">
        <f t="shared" si="597"/>
        <v>#REF!</v>
      </c>
      <c r="N374" s="257" t="e">
        <f t="shared" si="597"/>
        <v>#REF!</v>
      </c>
      <c r="O374" s="257" t="e">
        <f t="shared" si="597"/>
        <v>#REF!</v>
      </c>
      <c r="P374" s="257" t="e">
        <f t="shared" si="597"/>
        <v>#REF!</v>
      </c>
      <c r="Q374" s="257" t="e">
        <f t="shared" si="597"/>
        <v>#REF!</v>
      </c>
      <c r="R374" s="257" t="e">
        <f t="shared" si="597"/>
        <v>#REF!</v>
      </c>
      <c r="S374" s="257" t="e">
        <f t="shared" si="598"/>
        <v>#REF!</v>
      </c>
      <c r="T374" s="257" t="e">
        <f t="shared" si="599"/>
        <v>#REF!</v>
      </c>
      <c r="U374" s="257" t="e">
        <f t="shared" si="600"/>
        <v>#REF!</v>
      </c>
      <c r="V374" s="257" t="e">
        <f t="shared" si="601"/>
        <v>#REF!</v>
      </c>
      <c r="W374" s="257" t="e">
        <f t="shared" si="602"/>
        <v>#REF!</v>
      </c>
      <c r="X374" s="257" t="e">
        <f t="shared" si="603"/>
        <v>#REF!</v>
      </c>
      <c r="Y374" s="257" t="e">
        <f t="shared" si="604"/>
        <v>#REF!</v>
      </c>
      <c r="Z374" s="257" t="e">
        <f t="shared" si="605"/>
        <v>#REF!</v>
      </c>
    </row>
    <row r="375" spans="1:26" ht="12.75" hidden="1" customHeight="1" x14ac:dyDescent="0.2">
      <c r="A375" s="259" t="s">
        <v>302</v>
      </c>
      <c r="B375" s="252" t="s">
        <v>343</v>
      </c>
      <c r="C375" s="252" t="s">
        <v>190</v>
      </c>
      <c r="D375" s="252" t="s">
        <v>200</v>
      </c>
      <c r="E375" s="260" t="s">
        <v>334</v>
      </c>
      <c r="F375" s="252" t="s">
        <v>303</v>
      </c>
      <c r="G375" s="257"/>
      <c r="H375" s="257"/>
      <c r="I375" s="257" t="e">
        <f>#REF!+G375</f>
        <v>#REF!</v>
      </c>
      <c r="J375" s="257" t="e">
        <f t="shared" si="596"/>
        <v>#REF!</v>
      </c>
      <c r="K375" s="257" t="e">
        <f t="shared" si="606"/>
        <v>#REF!</v>
      </c>
      <c r="L375" s="257" t="e">
        <f t="shared" si="597"/>
        <v>#REF!</v>
      </c>
      <c r="M375" s="257" t="e">
        <f t="shared" si="597"/>
        <v>#REF!</v>
      </c>
      <c r="N375" s="257" t="e">
        <f t="shared" si="597"/>
        <v>#REF!</v>
      </c>
      <c r="O375" s="257" t="e">
        <f t="shared" si="597"/>
        <v>#REF!</v>
      </c>
      <c r="P375" s="257" t="e">
        <f t="shared" si="597"/>
        <v>#REF!</v>
      </c>
      <c r="Q375" s="257" t="e">
        <f t="shared" si="597"/>
        <v>#REF!</v>
      </c>
      <c r="R375" s="257" t="e">
        <f t="shared" si="597"/>
        <v>#REF!</v>
      </c>
      <c r="S375" s="257" t="e">
        <f t="shared" si="598"/>
        <v>#REF!</v>
      </c>
      <c r="T375" s="257" t="e">
        <f t="shared" si="599"/>
        <v>#REF!</v>
      </c>
      <c r="U375" s="257" t="e">
        <f t="shared" si="600"/>
        <v>#REF!</v>
      </c>
      <c r="V375" s="257" t="e">
        <f t="shared" si="601"/>
        <v>#REF!</v>
      </c>
      <c r="W375" s="257" t="e">
        <f t="shared" si="602"/>
        <v>#REF!</v>
      </c>
      <c r="X375" s="257" t="e">
        <f t="shared" si="603"/>
        <v>#REF!</v>
      </c>
      <c r="Y375" s="257" t="e">
        <f t="shared" si="604"/>
        <v>#REF!</v>
      </c>
      <c r="Z375" s="257" t="e">
        <f t="shared" si="605"/>
        <v>#REF!</v>
      </c>
    </row>
    <row r="376" spans="1:26" ht="12.75" hidden="1" customHeight="1" x14ac:dyDescent="0.2">
      <c r="A376" s="259" t="s">
        <v>344</v>
      </c>
      <c r="B376" s="252" t="s">
        <v>343</v>
      </c>
      <c r="C376" s="252" t="s">
        <v>190</v>
      </c>
      <c r="D376" s="252" t="s">
        <v>200</v>
      </c>
      <c r="E376" s="260" t="s">
        <v>334</v>
      </c>
      <c r="F376" s="252"/>
      <c r="G376" s="257"/>
      <c r="H376" s="257"/>
      <c r="I376" s="257" t="e">
        <f>#REF!+G376</f>
        <v>#REF!</v>
      </c>
      <c r="J376" s="257" t="e">
        <f t="shared" si="596"/>
        <v>#REF!</v>
      </c>
      <c r="K376" s="257" t="e">
        <f t="shared" si="606"/>
        <v>#REF!</v>
      </c>
      <c r="L376" s="257" t="e">
        <f t="shared" si="597"/>
        <v>#REF!</v>
      </c>
      <c r="M376" s="257" t="e">
        <f t="shared" si="597"/>
        <v>#REF!</v>
      </c>
      <c r="N376" s="257" t="e">
        <f t="shared" si="597"/>
        <v>#REF!</v>
      </c>
      <c r="O376" s="257" t="e">
        <f t="shared" si="597"/>
        <v>#REF!</v>
      </c>
      <c r="P376" s="257" t="e">
        <f t="shared" si="597"/>
        <v>#REF!</v>
      </c>
      <c r="Q376" s="257" t="e">
        <f t="shared" si="597"/>
        <v>#REF!</v>
      </c>
      <c r="R376" s="257" t="e">
        <f t="shared" si="597"/>
        <v>#REF!</v>
      </c>
      <c r="S376" s="257" t="e">
        <f t="shared" si="598"/>
        <v>#REF!</v>
      </c>
      <c r="T376" s="257" t="e">
        <f t="shared" si="599"/>
        <v>#REF!</v>
      </c>
      <c r="U376" s="257" t="e">
        <f t="shared" si="600"/>
        <v>#REF!</v>
      </c>
      <c r="V376" s="257" t="e">
        <f t="shared" si="601"/>
        <v>#REF!</v>
      </c>
      <c r="W376" s="257" t="e">
        <f t="shared" si="602"/>
        <v>#REF!</v>
      </c>
      <c r="X376" s="257" t="e">
        <f t="shared" si="603"/>
        <v>#REF!</v>
      </c>
      <c r="Y376" s="257" t="e">
        <f t="shared" si="604"/>
        <v>#REF!</v>
      </c>
      <c r="Z376" s="257" t="e">
        <f t="shared" si="605"/>
        <v>#REF!</v>
      </c>
    </row>
    <row r="377" spans="1:26" ht="38.25" hidden="1" customHeight="1" x14ac:dyDescent="0.2">
      <c r="A377" s="259" t="s">
        <v>345</v>
      </c>
      <c r="B377" s="252" t="s">
        <v>343</v>
      </c>
      <c r="C377" s="252" t="s">
        <v>190</v>
      </c>
      <c r="D377" s="252" t="s">
        <v>200</v>
      </c>
      <c r="E377" s="260" t="s">
        <v>334</v>
      </c>
      <c r="F377" s="252"/>
      <c r="G377" s="257"/>
      <c r="H377" s="257"/>
      <c r="I377" s="257" t="e">
        <f>#REF!+G377</f>
        <v>#REF!</v>
      </c>
      <c r="J377" s="257" t="e">
        <f t="shared" si="596"/>
        <v>#REF!</v>
      </c>
      <c r="K377" s="257" t="e">
        <f t="shared" si="606"/>
        <v>#REF!</v>
      </c>
      <c r="L377" s="257" t="e">
        <f t="shared" si="597"/>
        <v>#REF!</v>
      </c>
      <c r="M377" s="257" t="e">
        <f t="shared" si="597"/>
        <v>#REF!</v>
      </c>
      <c r="N377" s="257" t="e">
        <f t="shared" si="597"/>
        <v>#REF!</v>
      </c>
      <c r="O377" s="257" t="e">
        <f t="shared" si="597"/>
        <v>#REF!</v>
      </c>
      <c r="P377" s="257" t="e">
        <f t="shared" si="597"/>
        <v>#REF!</v>
      </c>
      <c r="Q377" s="257" t="e">
        <f t="shared" si="597"/>
        <v>#REF!</v>
      </c>
      <c r="R377" s="257" t="e">
        <f t="shared" si="597"/>
        <v>#REF!</v>
      </c>
      <c r="S377" s="257" t="e">
        <f t="shared" si="598"/>
        <v>#REF!</v>
      </c>
      <c r="T377" s="257" t="e">
        <f t="shared" si="599"/>
        <v>#REF!</v>
      </c>
      <c r="U377" s="257" t="e">
        <f t="shared" si="600"/>
        <v>#REF!</v>
      </c>
      <c r="V377" s="257" t="e">
        <f t="shared" si="601"/>
        <v>#REF!</v>
      </c>
      <c r="W377" s="257" t="e">
        <f t="shared" si="602"/>
        <v>#REF!</v>
      </c>
      <c r="X377" s="257" t="e">
        <f t="shared" si="603"/>
        <v>#REF!</v>
      </c>
      <c r="Y377" s="257" t="e">
        <f t="shared" si="604"/>
        <v>#REF!</v>
      </c>
      <c r="Z377" s="257" t="e">
        <f t="shared" si="605"/>
        <v>#REF!</v>
      </c>
    </row>
    <row r="378" spans="1:26" ht="12.75" hidden="1" customHeight="1" x14ac:dyDescent="0.2">
      <c r="A378" s="259" t="s">
        <v>63</v>
      </c>
      <c r="B378" s="252" t="s">
        <v>343</v>
      </c>
      <c r="C378" s="252" t="s">
        <v>190</v>
      </c>
      <c r="D378" s="252" t="s">
        <v>200</v>
      </c>
      <c r="E378" s="260" t="s">
        <v>334</v>
      </c>
      <c r="F378" s="252" t="s">
        <v>64</v>
      </c>
      <c r="G378" s="257"/>
      <c r="H378" s="257"/>
      <c r="I378" s="257" t="e">
        <f>#REF!+G378</f>
        <v>#REF!</v>
      </c>
      <c r="J378" s="257" t="e">
        <f t="shared" si="596"/>
        <v>#REF!</v>
      </c>
      <c r="K378" s="257" t="e">
        <f t="shared" si="606"/>
        <v>#REF!</v>
      </c>
      <c r="L378" s="257" t="e">
        <f t="shared" si="597"/>
        <v>#REF!</v>
      </c>
      <c r="M378" s="257" t="e">
        <f t="shared" si="597"/>
        <v>#REF!</v>
      </c>
      <c r="N378" s="257" t="e">
        <f t="shared" si="597"/>
        <v>#REF!</v>
      </c>
      <c r="O378" s="257" t="e">
        <f t="shared" si="597"/>
        <v>#REF!</v>
      </c>
      <c r="P378" s="257" t="e">
        <f t="shared" si="597"/>
        <v>#REF!</v>
      </c>
      <c r="Q378" s="257" t="e">
        <f t="shared" si="597"/>
        <v>#REF!</v>
      </c>
      <c r="R378" s="257" t="e">
        <f t="shared" si="597"/>
        <v>#REF!</v>
      </c>
      <c r="S378" s="257" t="e">
        <f t="shared" si="598"/>
        <v>#REF!</v>
      </c>
      <c r="T378" s="257" t="e">
        <f t="shared" si="599"/>
        <v>#REF!</v>
      </c>
      <c r="U378" s="257" t="e">
        <f t="shared" si="600"/>
        <v>#REF!</v>
      </c>
      <c r="V378" s="257" t="e">
        <f t="shared" si="601"/>
        <v>#REF!</v>
      </c>
      <c r="W378" s="257" t="e">
        <f t="shared" si="602"/>
        <v>#REF!</v>
      </c>
      <c r="X378" s="257" t="e">
        <f t="shared" si="603"/>
        <v>#REF!</v>
      </c>
      <c r="Y378" s="257" t="e">
        <f t="shared" si="604"/>
        <v>#REF!</v>
      </c>
      <c r="Z378" s="257" t="e">
        <f t="shared" si="605"/>
        <v>#REF!</v>
      </c>
    </row>
    <row r="379" spans="1:26" ht="12.75" hidden="1" customHeight="1" x14ac:dyDescent="0.2">
      <c r="A379" s="462" t="s">
        <v>346</v>
      </c>
      <c r="B379" s="252" t="s">
        <v>343</v>
      </c>
      <c r="C379" s="252" t="s">
        <v>190</v>
      </c>
      <c r="D379" s="252" t="s">
        <v>200</v>
      </c>
      <c r="E379" s="260" t="s">
        <v>334</v>
      </c>
      <c r="F379" s="250"/>
      <c r="G379" s="257"/>
      <c r="H379" s="257"/>
      <c r="I379" s="257" t="e">
        <f>#REF!+G379</f>
        <v>#REF!</v>
      </c>
      <c r="J379" s="257" t="e">
        <f t="shared" si="596"/>
        <v>#REF!</v>
      </c>
      <c r="K379" s="257" t="e">
        <f t="shared" si="606"/>
        <v>#REF!</v>
      </c>
      <c r="L379" s="257" t="e">
        <f t="shared" si="597"/>
        <v>#REF!</v>
      </c>
      <c r="M379" s="257" t="e">
        <f t="shared" si="597"/>
        <v>#REF!</v>
      </c>
      <c r="N379" s="257" t="e">
        <f t="shared" si="597"/>
        <v>#REF!</v>
      </c>
      <c r="O379" s="257" t="e">
        <f t="shared" si="597"/>
        <v>#REF!</v>
      </c>
      <c r="P379" s="257" t="e">
        <f t="shared" si="597"/>
        <v>#REF!</v>
      </c>
      <c r="Q379" s="257" t="e">
        <f t="shared" si="597"/>
        <v>#REF!</v>
      </c>
      <c r="R379" s="257" t="e">
        <f t="shared" si="597"/>
        <v>#REF!</v>
      </c>
      <c r="S379" s="257" t="e">
        <f t="shared" si="598"/>
        <v>#REF!</v>
      </c>
      <c r="T379" s="257" t="e">
        <f t="shared" si="599"/>
        <v>#REF!</v>
      </c>
      <c r="U379" s="257" t="e">
        <f t="shared" si="600"/>
        <v>#REF!</v>
      </c>
      <c r="V379" s="257" t="e">
        <f t="shared" si="601"/>
        <v>#REF!</v>
      </c>
      <c r="W379" s="257" t="e">
        <f t="shared" si="602"/>
        <v>#REF!</v>
      </c>
      <c r="X379" s="257" t="e">
        <f t="shared" si="603"/>
        <v>#REF!</v>
      </c>
      <c r="Y379" s="257" t="e">
        <f t="shared" si="604"/>
        <v>#REF!</v>
      </c>
      <c r="Z379" s="257" t="e">
        <f t="shared" si="605"/>
        <v>#REF!</v>
      </c>
    </row>
    <row r="380" spans="1:26" ht="12.75" hidden="1" customHeight="1" x14ac:dyDescent="0.2">
      <c r="A380" s="259" t="s">
        <v>347</v>
      </c>
      <c r="B380" s="252" t="s">
        <v>343</v>
      </c>
      <c r="C380" s="252" t="s">
        <v>190</v>
      </c>
      <c r="D380" s="252" t="s">
        <v>200</v>
      </c>
      <c r="E380" s="260" t="s">
        <v>334</v>
      </c>
      <c r="F380" s="252"/>
      <c r="G380" s="257"/>
      <c r="H380" s="257"/>
      <c r="I380" s="257" t="e">
        <f>#REF!+G380</f>
        <v>#REF!</v>
      </c>
      <c r="J380" s="257" t="e">
        <f t="shared" si="596"/>
        <v>#REF!</v>
      </c>
      <c r="K380" s="257" t="e">
        <f t="shared" si="606"/>
        <v>#REF!</v>
      </c>
      <c r="L380" s="257" t="e">
        <f t="shared" si="597"/>
        <v>#REF!</v>
      </c>
      <c r="M380" s="257" t="e">
        <f t="shared" si="597"/>
        <v>#REF!</v>
      </c>
      <c r="N380" s="257" t="e">
        <f t="shared" si="597"/>
        <v>#REF!</v>
      </c>
      <c r="O380" s="257" t="e">
        <f t="shared" si="597"/>
        <v>#REF!</v>
      </c>
      <c r="P380" s="257" t="e">
        <f t="shared" si="597"/>
        <v>#REF!</v>
      </c>
      <c r="Q380" s="257" t="e">
        <f t="shared" si="597"/>
        <v>#REF!</v>
      </c>
      <c r="R380" s="257" t="e">
        <f t="shared" si="597"/>
        <v>#REF!</v>
      </c>
      <c r="S380" s="257" t="e">
        <f t="shared" si="598"/>
        <v>#REF!</v>
      </c>
      <c r="T380" s="257" t="e">
        <f t="shared" si="599"/>
        <v>#REF!</v>
      </c>
      <c r="U380" s="257" t="e">
        <f t="shared" si="600"/>
        <v>#REF!</v>
      </c>
      <c r="V380" s="257" t="e">
        <f t="shared" si="601"/>
        <v>#REF!</v>
      </c>
      <c r="W380" s="257" t="e">
        <f t="shared" si="602"/>
        <v>#REF!</v>
      </c>
      <c r="X380" s="257" t="e">
        <f t="shared" si="603"/>
        <v>#REF!</v>
      </c>
      <c r="Y380" s="257" t="e">
        <f t="shared" si="604"/>
        <v>#REF!</v>
      </c>
      <c r="Z380" s="257" t="e">
        <f t="shared" si="605"/>
        <v>#REF!</v>
      </c>
    </row>
    <row r="381" spans="1:26" ht="15.75" hidden="1" customHeight="1" x14ac:dyDescent="0.2">
      <c r="A381" s="259" t="s">
        <v>348</v>
      </c>
      <c r="B381" s="252" t="s">
        <v>343</v>
      </c>
      <c r="C381" s="252" t="s">
        <v>190</v>
      </c>
      <c r="D381" s="252" t="s">
        <v>200</v>
      </c>
      <c r="E381" s="260" t="s">
        <v>334</v>
      </c>
      <c r="F381" s="252"/>
      <c r="G381" s="257"/>
      <c r="H381" s="257"/>
      <c r="I381" s="257" t="e">
        <f>#REF!+G381</f>
        <v>#REF!</v>
      </c>
      <c r="J381" s="257" t="e">
        <f t="shared" si="596"/>
        <v>#REF!</v>
      </c>
      <c r="K381" s="257" t="e">
        <f t="shared" si="606"/>
        <v>#REF!</v>
      </c>
      <c r="L381" s="257" t="e">
        <f t="shared" si="597"/>
        <v>#REF!</v>
      </c>
      <c r="M381" s="257" t="e">
        <f t="shared" si="597"/>
        <v>#REF!</v>
      </c>
      <c r="N381" s="257" t="e">
        <f t="shared" si="597"/>
        <v>#REF!</v>
      </c>
      <c r="O381" s="257" t="e">
        <f t="shared" si="597"/>
        <v>#REF!</v>
      </c>
      <c r="P381" s="257" t="e">
        <f t="shared" si="597"/>
        <v>#REF!</v>
      </c>
      <c r="Q381" s="257" t="e">
        <f t="shared" si="597"/>
        <v>#REF!</v>
      </c>
      <c r="R381" s="257" t="e">
        <f t="shared" si="597"/>
        <v>#REF!</v>
      </c>
      <c r="S381" s="257" t="e">
        <f t="shared" si="598"/>
        <v>#REF!</v>
      </c>
      <c r="T381" s="257" t="e">
        <f t="shared" si="599"/>
        <v>#REF!</v>
      </c>
      <c r="U381" s="257" t="e">
        <f t="shared" si="600"/>
        <v>#REF!</v>
      </c>
      <c r="V381" s="257" t="e">
        <f t="shared" si="601"/>
        <v>#REF!</v>
      </c>
      <c r="W381" s="257" t="e">
        <f t="shared" si="602"/>
        <v>#REF!</v>
      </c>
      <c r="X381" s="257" t="e">
        <f t="shared" si="603"/>
        <v>#REF!</v>
      </c>
      <c r="Y381" s="257" t="e">
        <f t="shared" si="604"/>
        <v>#REF!</v>
      </c>
      <c r="Z381" s="257" t="e">
        <f t="shared" si="605"/>
        <v>#REF!</v>
      </c>
    </row>
    <row r="382" spans="1:26" ht="12.75" hidden="1" customHeight="1" x14ac:dyDescent="0.2">
      <c r="A382" s="259" t="s">
        <v>149</v>
      </c>
      <c r="B382" s="252" t="s">
        <v>343</v>
      </c>
      <c r="C382" s="252" t="s">
        <v>190</v>
      </c>
      <c r="D382" s="252" t="s">
        <v>200</v>
      </c>
      <c r="E382" s="260" t="s">
        <v>334</v>
      </c>
      <c r="F382" s="252" t="s">
        <v>150</v>
      </c>
      <c r="G382" s="257"/>
      <c r="H382" s="257"/>
      <c r="I382" s="257" t="e">
        <f>#REF!+G382</f>
        <v>#REF!</v>
      </c>
      <c r="J382" s="257" t="e">
        <f t="shared" si="596"/>
        <v>#REF!</v>
      </c>
      <c r="K382" s="257" t="e">
        <f t="shared" si="606"/>
        <v>#REF!</v>
      </c>
      <c r="L382" s="257" t="e">
        <f t="shared" si="597"/>
        <v>#REF!</v>
      </c>
      <c r="M382" s="257" t="e">
        <f t="shared" si="597"/>
        <v>#REF!</v>
      </c>
      <c r="N382" s="257" t="e">
        <f t="shared" si="597"/>
        <v>#REF!</v>
      </c>
      <c r="O382" s="257" t="e">
        <f t="shared" si="597"/>
        <v>#REF!</v>
      </c>
      <c r="P382" s="257" t="e">
        <f t="shared" si="597"/>
        <v>#REF!</v>
      </c>
      <c r="Q382" s="257" t="e">
        <f t="shared" si="597"/>
        <v>#REF!</v>
      </c>
      <c r="R382" s="257" t="e">
        <f t="shared" si="597"/>
        <v>#REF!</v>
      </c>
      <c r="S382" s="257" t="e">
        <f t="shared" si="598"/>
        <v>#REF!</v>
      </c>
      <c r="T382" s="257" t="e">
        <f t="shared" si="599"/>
        <v>#REF!</v>
      </c>
      <c r="U382" s="257" t="e">
        <f t="shared" si="600"/>
        <v>#REF!</v>
      </c>
      <c r="V382" s="257" t="e">
        <f t="shared" si="601"/>
        <v>#REF!</v>
      </c>
      <c r="W382" s="257" t="e">
        <f t="shared" si="602"/>
        <v>#REF!</v>
      </c>
      <c r="X382" s="257" t="e">
        <f t="shared" si="603"/>
        <v>#REF!</v>
      </c>
      <c r="Y382" s="257" t="e">
        <f t="shared" si="604"/>
        <v>#REF!</v>
      </c>
      <c r="Z382" s="257" t="e">
        <f t="shared" si="605"/>
        <v>#REF!</v>
      </c>
    </row>
    <row r="383" spans="1:26" ht="12.75" hidden="1" customHeight="1" x14ac:dyDescent="0.2">
      <c r="A383" s="259" t="s">
        <v>63</v>
      </c>
      <c r="B383" s="252" t="s">
        <v>343</v>
      </c>
      <c r="C383" s="252" t="s">
        <v>190</v>
      </c>
      <c r="D383" s="252" t="s">
        <v>200</v>
      </c>
      <c r="E383" s="260" t="s">
        <v>334</v>
      </c>
      <c r="F383" s="252" t="s">
        <v>64</v>
      </c>
      <c r="G383" s="257"/>
      <c r="H383" s="257"/>
      <c r="I383" s="257" t="e">
        <f>#REF!+G383</f>
        <v>#REF!</v>
      </c>
      <c r="J383" s="257" t="e">
        <f t="shared" si="596"/>
        <v>#REF!</v>
      </c>
      <c r="K383" s="257" t="e">
        <f t="shared" si="606"/>
        <v>#REF!</v>
      </c>
      <c r="L383" s="257" t="e">
        <f t="shared" si="597"/>
        <v>#REF!</v>
      </c>
      <c r="M383" s="257" t="e">
        <f t="shared" si="597"/>
        <v>#REF!</v>
      </c>
      <c r="N383" s="257" t="e">
        <f t="shared" si="597"/>
        <v>#REF!</v>
      </c>
      <c r="O383" s="257" t="e">
        <f t="shared" si="597"/>
        <v>#REF!</v>
      </c>
      <c r="P383" s="257" t="e">
        <f t="shared" si="597"/>
        <v>#REF!</v>
      </c>
      <c r="Q383" s="257" t="e">
        <f t="shared" si="597"/>
        <v>#REF!</v>
      </c>
      <c r="R383" s="257" t="e">
        <f t="shared" si="597"/>
        <v>#REF!</v>
      </c>
      <c r="S383" s="257" t="e">
        <f t="shared" si="598"/>
        <v>#REF!</v>
      </c>
      <c r="T383" s="257" t="e">
        <f t="shared" si="599"/>
        <v>#REF!</v>
      </c>
      <c r="U383" s="257" t="e">
        <f t="shared" si="600"/>
        <v>#REF!</v>
      </c>
      <c r="V383" s="257" t="e">
        <f t="shared" si="601"/>
        <v>#REF!</v>
      </c>
      <c r="W383" s="257" t="e">
        <f t="shared" si="602"/>
        <v>#REF!</v>
      </c>
      <c r="X383" s="257" t="e">
        <f t="shared" si="603"/>
        <v>#REF!</v>
      </c>
      <c r="Y383" s="257" t="e">
        <f t="shared" si="604"/>
        <v>#REF!</v>
      </c>
      <c r="Z383" s="257" t="e">
        <f t="shared" si="605"/>
        <v>#REF!</v>
      </c>
    </row>
    <row r="384" spans="1:26" hidden="1" x14ac:dyDescent="0.2">
      <c r="A384" s="259" t="s">
        <v>103</v>
      </c>
      <c r="B384" s="252" t="s">
        <v>343</v>
      </c>
      <c r="C384" s="252" t="s">
        <v>190</v>
      </c>
      <c r="D384" s="252" t="s">
        <v>200</v>
      </c>
      <c r="E384" s="260" t="s">
        <v>334</v>
      </c>
      <c r="F384" s="252" t="s">
        <v>104</v>
      </c>
      <c r="G384" s="257"/>
      <c r="H384" s="257"/>
      <c r="I384" s="257">
        <v>-70</v>
      </c>
      <c r="J384" s="257">
        <f t="shared" si="596"/>
        <v>-70</v>
      </c>
      <c r="K384" s="257">
        <v>-70</v>
      </c>
      <c r="L384" s="257">
        <f t="shared" si="597"/>
        <v>-70</v>
      </c>
      <c r="M384" s="257">
        <f t="shared" si="597"/>
        <v>-140</v>
      </c>
      <c r="N384" s="257">
        <f t="shared" si="597"/>
        <v>-140</v>
      </c>
      <c r="O384" s="257">
        <f t="shared" si="597"/>
        <v>-210</v>
      </c>
      <c r="P384" s="257">
        <f t="shared" si="597"/>
        <v>-210</v>
      </c>
      <c r="Q384" s="257">
        <f t="shared" si="597"/>
        <v>-350</v>
      </c>
      <c r="R384" s="257">
        <f t="shared" si="597"/>
        <v>-350</v>
      </c>
      <c r="S384" s="257">
        <f t="shared" si="598"/>
        <v>-560</v>
      </c>
      <c r="T384" s="257">
        <f t="shared" si="599"/>
        <v>-560</v>
      </c>
      <c r="U384" s="257">
        <f t="shared" si="600"/>
        <v>-910</v>
      </c>
      <c r="V384" s="257">
        <f t="shared" si="601"/>
        <v>-910</v>
      </c>
      <c r="W384" s="257">
        <f t="shared" si="602"/>
        <v>-1470</v>
      </c>
      <c r="X384" s="257">
        <f t="shared" si="603"/>
        <v>-1470</v>
      </c>
      <c r="Y384" s="257">
        <f t="shared" si="604"/>
        <v>-2380</v>
      </c>
      <c r="Z384" s="257">
        <f t="shared" si="605"/>
        <v>-2380</v>
      </c>
    </row>
    <row r="385" spans="1:26" ht="26.25" hidden="1" customHeight="1" x14ac:dyDescent="0.2">
      <c r="A385" s="259" t="s">
        <v>971</v>
      </c>
      <c r="B385" s="252" t="s">
        <v>343</v>
      </c>
      <c r="C385" s="252" t="s">
        <v>190</v>
      </c>
      <c r="D385" s="252" t="s">
        <v>200</v>
      </c>
      <c r="E385" s="260" t="s">
        <v>460</v>
      </c>
      <c r="F385" s="252"/>
      <c r="G385" s="257"/>
      <c r="H385" s="257"/>
      <c r="I385" s="257">
        <f t="shared" ref="I385:Y386" si="607">I386</f>
        <v>-4839.8</v>
      </c>
      <c r="J385" s="257" t="e">
        <f t="shared" si="607"/>
        <v>#REF!</v>
      </c>
      <c r="K385" s="257">
        <f t="shared" si="607"/>
        <v>-4839.8</v>
      </c>
      <c r="L385" s="257" t="e">
        <f t="shared" si="607"/>
        <v>#REF!</v>
      </c>
      <c r="M385" s="257" t="e">
        <f t="shared" si="607"/>
        <v>#REF!</v>
      </c>
      <c r="N385" s="257" t="e">
        <f t="shared" si="607"/>
        <v>#REF!</v>
      </c>
      <c r="O385" s="257" t="e">
        <f t="shared" si="607"/>
        <v>#REF!</v>
      </c>
      <c r="P385" s="257" t="e">
        <f t="shared" si="607"/>
        <v>#REF!</v>
      </c>
      <c r="Q385" s="257" t="e">
        <f t="shared" si="607"/>
        <v>#REF!</v>
      </c>
      <c r="R385" s="257" t="e">
        <f t="shared" si="607"/>
        <v>#REF!</v>
      </c>
      <c r="S385" s="257" t="e">
        <f t="shared" si="607"/>
        <v>#REF!</v>
      </c>
      <c r="T385" s="257" t="e">
        <f t="shared" si="607"/>
        <v>#REF!</v>
      </c>
      <c r="U385" s="257" t="e">
        <f t="shared" si="607"/>
        <v>#REF!</v>
      </c>
      <c r="V385" s="257" t="e">
        <f t="shared" si="607"/>
        <v>#REF!</v>
      </c>
      <c r="W385" s="257" t="e">
        <f t="shared" si="607"/>
        <v>#REF!</v>
      </c>
      <c r="X385" s="257" t="e">
        <f t="shared" si="607"/>
        <v>#REF!</v>
      </c>
      <c r="Y385" s="257" t="e">
        <f t="shared" si="607"/>
        <v>#REF!</v>
      </c>
      <c r="Z385" s="257" t="e">
        <f t="shared" ref="Y385:Z386" si="608">Z386</f>
        <v>#REF!</v>
      </c>
    </row>
    <row r="386" spans="1:26" ht="44.25" hidden="1" customHeight="1" x14ac:dyDescent="0.2">
      <c r="A386" s="259" t="s">
        <v>993</v>
      </c>
      <c r="B386" s="252" t="s">
        <v>343</v>
      </c>
      <c r="C386" s="252" t="s">
        <v>190</v>
      </c>
      <c r="D386" s="252" t="s">
        <v>200</v>
      </c>
      <c r="E386" s="260" t="s">
        <v>461</v>
      </c>
      <c r="F386" s="252"/>
      <c r="G386" s="257"/>
      <c r="H386" s="257"/>
      <c r="I386" s="257">
        <f t="shared" si="607"/>
        <v>-4839.8</v>
      </c>
      <c r="J386" s="257" t="e">
        <f t="shared" si="607"/>
        <v>#REF!</v>
      </c>
      <c r="K386" s="257">
        <f t="shared" si="607"/>
        <v>-4839.8</v>
      </c>
      <c r="L386" s="257" t="e">
        <f t="shared" si="607"/>
        <v>#REF!</v>
      </c>
      <c r="M386" s="257" t="e">
        <f t="shared" si="607"/>
        <v>#REF!</v>
      </c>
      <c r="N386" s="257" t="e">
        <f t="shared" si="607"/>
        <v>#REF!</v>
      </c>
      <c r="O386" s="257" t="e">
        <f t="shared" si="607"/>
        <v>#REF!</v>
      </c>
      <c r="P386" s="257" t="e">
        <f t="shared" si="607"/>
        <v>#REF!</v>
      </c>
      <c r="Q386" s="257" t="e">
        <f t="shared" si="607"/>
        <v>#REF!</v>
      </c>
      <c r="R386" s="257" t="e">
        <f t="shared" si="607"/>
        <v>#REF!</v>
      </c>
      <c r="S386" s="257" t="e">
        <f t="shared" si="607"/>
        <v>#REF!</v>
      </c>
      <c r="T386" s="257" t="e">
        <f t="shared" si="607"/>
        <v>#REF!</v>
      </c>
      <c r="U386" s="257" t="e">
        <f t="shared" si="607"/>
        <v>#REF!</v>
      </c>
      <c r="V386" s="257" t="e">
        <f t="shared" si="607"/>
        <v>#REF!</v>
      </c>
      <c r="W386" s="257" t="e">
        <f t="shared" si="607"/>
        <v>#REF!</v>
      </c>
      <c r="X386" s="257" t="e">
        <f t="shared" si="607"/>
        <v>#REF!</v>
      </c>
      <c r="Y386" s="257" t="e">
        <f t="shared" si="608"/>
        <v>#REF!</v>
      </c>
      <c r="Z386" s="257" t="e">
        <f t="shared" si="608"/>
        <v>#REF!</v>
      </c>
    </row>
    <row r="387" spans="1:26" ht="27.75" hidden="1" customHeight="1" x14ac:dyDescent="0.2">
      <c r="A387" s="259" t="s">
        <v>978</v>
      </c>
      <c r="B387" s="252" t="s">
        <v>343</v>
      </c>
      <c r="C387" s="252" t="s">
        <v>190</v>
      </c>
      <c r="D387" s="252" t="s">
        <v>200</v>
      </c>
      <c r="E387" s="252" t="s">
        <v>464</v>
      </c>
      <c r="F387" s="252"/>
      <c r="G387" s="257"/>
      <c r="H387" s="257"/>
      <c r="I387" s="257">
        <f>I388+I389+I390+I391+I392+I393</f>
        <v>-4839.8</v>
      </c>
      <c r="J387" s="257" t="e">
        <f>J388+J389+J390+J391+J392+J393</f>
        <v>#REF!</v>
      </c>
      <c r="K387" s="257">
        <f>K388+K389+K390+K391+K392+K393</f>
        <v>-4839.8</v>
      </c>
      <c r="L387" s="257" t="e">
        <f>L388+L389+L390+L391+L392+L393</f>
        <v>#REF!</v>
      </c>
      <c r="M387" s="257" t="e">
        <f>M388+M389+M390+M391+M392+M393</f>
        <v>#REF!</v>
      </c>
      <c r="N387" s="257" t="e">
        <f t="shared" ref="N387:R387" si="609">N388+N389+N390+N391+N392+N393</f>
        <v>#REF!</v>
      </c>
      <c r="O387" s="257" t="e">
        <f t="shared" si="609"/>
        <v>#REF!</v>
      </c>
      <c r="P387" s="257" t="e">
        <f t="shared" si="609"/>
        <v>#REF!</v>
      </c>
      <c r="Q387" s="257" t="e">
        <f t="shared" si="609"/>
        <v>#REF!</v>
      </c>
      <c r="R387" s="257" t="e">
        <f t="shared" si="609"/>
        <v>#REF!</v>
      </c>
      <c r="S387" s="257" t="e">
        <f t="shared" ref="S387:T387" si="610">S388+S389+S390+S391+S392+S393</f>
        <v>#REF!</v>
      </c>
      <c r="T387" s="257" t="e">
        <f t="shared" si="610"/>
        <v>#REF!</v>
      </c>
      <c r="U387" s="257" t="e">
        <f t="shared" ref="U387:V387" si="611">U388+U389+U390+U391+U392+U393</f>
        <v>#REF!</v>
      </c>
      <c r="V387" s="257" t="e">
        <f t="shared" si="611"/>
        <v>#REF!</v>
      </c>
      <c r="W387" s="257" t="e">
        <f t="shared" ref="W387:X387" si="612">W388+W389+W390+W391+W392+W393</f>
        <v>#REF!</v>
      </c>
      <c r="X387" s="257" t="e">
        <f t="shared" si="612"/>
        <v>#REF!</v>
      </c>
      <c r="Y387" s="257" t="e">
        <f t="shared" ref="Y387:Z387" si="613">Y388+Y389+Y390+Y391+Y392+Y393</f>
        <v>#REF!</v>
      </c>
      <c r="Z387" s="257" t="e">
        <f t="shared" si="613"/>
        <v>#REF!</v>
      </c>
    </row>
    <row r="388" spans="1:26" ht="12.75" hidden="1" customHeight="1" x14ac:dyDescent="0.2">
      <c r="A388" s="259" t="s">
        <v>95</v>
      </c>
      <c r="B388" s="252" t="s">
        <v>343</v>
      </c>
      <c r="C388" s="252" t="s">
        <v>190</v>
      </c>
      <c r="D388" s="252" t="s">
        <v>200</v>
      </c>
      <c r="E388" s="252" t="s">
        <v>464</v>
      </c>
      <c r="F388" s="252" t="s">
        <v>96</v>
      </c>
      <c r="G388" s="257"/>
      <c r="H388" s="257"/>
      <c r="I388" s="257">
        <v>-3954.8</v>
      </c>
      <c r="J388" s="257" t="e">
        <f>#REF!+I388</f>
        <v>#REF!</v>
      </c>
      <c r="K388" s="257">
        <v>-3954.8</v>
      </c>
      <c r="L388" s="257" t="e">
        <f>#REF!+J388</f>
        <v>#REF!</v>
      </c>
      <c r="M388" s="257" t="e">
        <f>#REF!+K388</f>
        <v>#REF!</v>
      </c>
      <c r="N388" s="257" t="e">
        <f>#REF!+L388</f>
        <v>#REF!</v>
      </c>
      <c r="O388" s="257" t="e">
        <f>#REF!+M388</f>
        <v>#REF!</v>
      </c>
      <c r="P388" s="257" t="e">
        <f>#REF!+N388</f>
        <v>#REF!</v>
      </c>
      <c r="Q388" s="257" t="e">
        <f>#REF!+O388</f>
        <v>#REF!</v>
      </c>
      <c r="R388" s="257" t="e">
        <f>#REF!+P388</f>
        <v>#REF!</v>
      </c>
      <c r="S388" s="257" t="e">
        <f>#REF!+Q388</f>
        <v>#REF!</v>
      </c>
      <c r="T388" s="257" t="e">
        <f>#REF!+R388</f>
        <v>#REF!</v>
      </c>
      <c r="U388" s="257" t="e">
        <f>#REF!+S388</f>
        <v>#REF!</v>
      </c>
      <c r="V388" s="257" t="e">
        <f>#REF!+T388</f>
        <v>#REF!</v>
      </c>
      <c r="W388" s="257" t="e">
        <f>#REF!+U388</f>
        <v>#REF!</v>
      </c>
      <c r="X388" s="257" t="e">
        <f>#REF!+V388</f>
        <v>#REF!</v>
      </c>
      <c r="Y388" s="257" t="e">
        <f>#REF!+W388</f>
        <v>#REF!</v>
      </c>
      <c r="Z388" s="257" t="e">
        <f>#REF!+X388</f>
        <v>#REF!</v>
      </c>
    </row>
    <row r="389" spans="1:26" ht="12.75" hidden="1" customHeight="1" x14ac:dyDescent="0.2">
      <c r="A389" s="259" t="s">
        <v>97</v>
      </c>
      <c r="B389" s="252" t="s">
        <v>343</v>
      </c>
      <c r="C389" s="252" t="s">
        <v>190</v>
      </c>
      <c r="D389" s="252" t="s">
        <v>200</v>
      </c>
      <c r="E389" s="252" t="s">
        <v>464</v>
      </c>
      <c r="F389" s="252" t="s">
        <v>98</v>
      </c>
      <c r="G389" s="257"/>
      <c r="H389" s="257"/>
      <c r="I389" s="257">
        <v>-98</v>
      </c>
      <c r="J389" s="257" t="e">
        <f>#REF!+I389</f>
        <v>#REF!</v>
      </c>
      <c r="K389" s="257">
        <v>-98</v>
      </c>
      <c r="L389" s="257" t="e">
        <f>#REF!+J389</f>
        <v>#REF!</v>
      </c>
      <c r="M389" s="257" t="e">
        <f>#REF!+K389</f>
        <v>#REF!</v>
      </c>
      <c r="N389" s="257" t="e">
        <f>#REF!+L389</f>
        <v>#REF!</v>
      </c>
      <c r="O389" s="257" t="e">
        <f>#REF!+M389</f>
        <v>#REF!</v>
      </c>
      <c r="P389" s="257" t="e">
        <f>#REF!+N389</f>
        <v>#REF!</v>
      </c>
      <c r="Q389" s="257" t="e">
        <f>#REF!+O389</f>
        <v>#REF!</v>
      </c>
      <c r="R389" s="257" t="e">
        <f>#REF!+P389</f>
        <v>#REF!</v>
      </c>
      <c r="S389" s="257" t="e">
        <f>#REF!+Q389</f>
        <v>#REF!</v>
      </c>
      <c r="T389" s="257" t="e">
        <f>#REF!+R389</f>
        <v>#REF!</v>
      </c>
      <c r="U389" s="257" t="e">
        <f>#REF!+S389</f>
        <v>#REF!</v>
      </c>
      <c r="V389" s="257" t="e">
        <f>#REF!+T389</f>
        <v>#REF!</v>
      </c>
      <c r="W389" s="257" t="e">
        <f>#REF!+U389</f>
        <v>#REF!</v>
      </c>
      <c r="X389" s="257" t="e">
        <f>#REF!+V389</f>
        <v>#REF!</v>
      </c>
      <c r="Y389" s="257" t="e">
        <f>#REF!+W389</f>
        <v>#REF!</v>
      </c>
      <c r="Z389" s="257" t="e">
        <f>#REF!+X389</f>
        <v>#REF!</v>
      </c>
    </row>
    <row r="390" spans="1:26" ht="18.75" hidden="1" customHeight="1" x14ac:dyDescent="0.2">
      <c r="A390" s="259" t="s">
        <v>99</v>
      </c>
      <c r="B390" s="252" t="s">
        <v>343</v>
      </c>
      <c r="C390" s="252" t="s">
        <v>190</v>
      </c>
      <c r="D390" s="252" t="s">
        <v>200</v>
      </c>
      <c r="E390" s="252" t="s">
        <v>464</v>
      </c>
      <c r="F390" s="252" t="s">
        <v>100</v>
      </c>
      <c r="G390" s="257"/>
      <c r="H390" s="257"/>
      <c r="I390" s="257">
        <v>-340</v>
      </c>
      <c r="J390" s="257" t="e">
        <f>#REF!+I390</f>
        <v>#REF!</v>
      </c>
      <c r="K390" s="257">
        <v>-340</v>
      </c>
      <c r="L390" s="257" t="e">
        <f>#REF!+J390</f>
        <v>#REF!</v>
      </c>
      <c r="M390" s="257" t="e">
        <f>#REF!+K390</f>
        <v>#REF!</v>
      </c>
      <c r="N390" s="257" t="e">
        <f>#REF!+L390</f>
        <v>#REF!</v>
      </c>
      <c r="O390" s="257" t="e">
        <f>#REF!+M390</f>
        <v>#REF!</v>
      </c>
      <c r="P390" s="257" t="e">
        <f>#REF!+N390</f>
        <v>#REF!</v>
      </c>
      <c r="Q390" s="257" t="e">
        <f>#REF!+O390</f>
        <v>#REF!</v>
      </c>
      <c r="R390" s="257" t="e">
        <f>#REF!+P390</f>
        <v>#REF!</v>
      </c>
      <c r="S390" s="257" t="e">
        <f>#REF!+Q390</f>
        <v>#REF!</v>
      </c>
      <c r="T390" s="257" t="e">
        <f>#REF!+R390</f>
        <v>#REF!</v>
      </c>
      <c r="U390" s="257" t="e">
        <f>#REF!+S390</f>
        <v>#REF!</v>
      </c>
      <c r="V390" s="257" t="e">
        <f>#REF!+T390</f>
        <v>#REF!</v>
      </c>
      <c r="W390" s="257" t="e">
        <f>#REF!+U390</f>
        <v>#REF!</v>
      </c>
      <c r="X390" s="257" t="e">
        <f>#REF!+V390</f>
        <v>#REF!</v>
      </c>
      <c r="Y390" s="257" t="e">
        <f>#REF!+W390</f>
        <v>#REF!</v>
      </c>
      <c r="Z390" s="257" t="e">
        <f>#REF!+X390</f>
        <v>#REF!</v>
      </c>
    </row>
    <row r="391" spans="1:26" ht="18.75" hidden="1" customHeight="1" x14ac:dyDescent="0.2">
      <c r="A391" s="259" t="s">
        <v>93</v>
      </c>
      <c r="B391" s="252" t="s">
        <v>343</v>
      </c>
      <c r="C391" s="252" t="s">
        <v>190</v>
      </c>
      <c r="D391" s="252" t="s">
        <v>200</v>
      </c>
      <c r="E391" s="252" t="s">
        <v>464</v>
      </c>
      <c r="F391" s="252" t="s">
        <v>94</v>
      </c>
      <c r="G391" s="257"/>
      <c r="H391" s="257"/>
      <c r="I391" s="257">
        <v>-387</v>
      </c>
      <c r="J391" s="257" t="e">
        <f>#REF!+I391</f>
        <v>#REF!</v>
      </c>
      <c r="K391" s="257">
        <v>-387</v>
      </c>
      <c r="L391" s="257" t="e">
        <f>#REF!+J391</f>
        <v>#REF!</v>
      </c>
      <c r="M391" s="257" t="e">
        <f>#REF!+K391</f>
        <v>#REF!</v>
      </c>
      <c r="N391" s="257" t="e">
        <f>#REF!+L391</f>
        <v>#REF!</v>
      </c>
      <c r="O391" s="257" t="e">
        <f>#REF!+M391</f>
        <v>#REF!</v>
      </c>
      <c r="P391" s="257" t="e">
        <f>#REF!+N391</f>
        <v>#REF!</v>
      </c>
      <c r="Q391" s="257" t="e">
        <f>#REF!+O391</f>
        <v>#REF!</v>
      </c>
      <c r="R391" s="257" t="e">
        <f>#REF!+P391</f>
        <v>#REF!</v>
      </c>
      <c r="S391" s="257" t="e">
        <f>#REF!+Q391</f>
        <v>#REF!</v>
      </c>
      <c r="T391" s="257" t="e">
        <f>#REF!+R391</f>
        <v>#REF!</v>
      </c>
      <c r="U391" s="257" t="e">
        <f>#REF!+S391</f>
        <v>#REF!</v>
      </c>
      <c r="V391" s="257" t="e">
        <f>#REF!+T391</f>
        <v>#REF!</v>
      </c>
      <c r="W391" s="257" t="e">
        <f>#REF!+U391</f>
        <v>#REF!</v>
      </c>
      <c r="X391" s="257" t="e">
        <f>#REF!+V391</f>
        <v>#REF!</v>
      </c>
      <c r="Y391" s="257" t="e">
        <f>#REF!+W391</f>
        <v>#REF!</v>
      </c>
      <c r="Z391" s="257" t="e">
        <f>#REF!+X391</f>
        <v>#REF!</v>
      </c>
    </row>
    <row r="392" spans="1:26" ht="12.75" hidden="1" customHeight="1" x14ac:dyDescent="0.2">
      <c r="A392" s="259" t="s">
        <v>103</v>
      </c>
      <c r="B392" s="252" t="s">
        <v>343</v>
      </c>
      <c r="C392" s="252" t="s">
        <v>190</v>
      </c>
      <c r="D392" s="252" t="s">
        <v>200</v>
      </c>
      <c r="E392" s="252" t="s">
        <v>464</v>
      </c>
      <c r="F392" s="252" t="s">
        <v>104</v>
      </c>
      <c r="G392" s="257"/>
      <c r="H392" s="257"/>
      <c r="I392" s="257">
        <v>-23</v>
      </c>
      <c r="J392" s="257" t="e">
        <f>#REF!+I392</f>
        <v>#REF!</v>
      </c>
      <c r="K392" s="257">
        <v>-23</v>
      </c>
      <c r="L392" s="257" t="e">
        <f>#REF!+J392</f>
        <v>#REF!</v>
      </c>
      <c r="M392" s="257" t="e">
        <f>#REF!+K392</f>
        <v>#REF!</v>
      </c>
      <c r="N392" s="257" t="e">
        <f>#REF!+L392</f>
        <v>#REF!</v>
      </c>
      <c r="O392" s="257" t="e">
        <f>#REF!+M392</f>
        <v>#REF!</v>
      </c>
      <c r="P392" s="257" t="e">
        <f>#REF!+N392</f>
        <v>#REF!</v>
      </c>
      <c r="Q392" s="257" t="e">
        <f>#REF!+O392</f>
        <v>#REF!</v>
      </c>
      <c r="R392" s="257" t="e">
        <f>#REF!+P392</f>
        <v>#REF!</v>
      </c>
      <c r="S392" s="257" t="e">
        <f>#REF!+Q392</f>
        <v>#REF!</v>
      </c>
      <c r="T392" s="257" t="e">
        <f>#REF!+R392</f>
        <v>#REF!</v>
      </c>
      <c r="U392" s="257" t="e">
        <f>#REF!+S392</f>
        <v>#REF!</v>
      </c>
      <c r="V392" s="257" t="e">
        <f>#REF!+T392</f>
        <v>#REF!</v>
      </c>
      <c r="W392" s="257" t="e">
        <f>#REF!+U392</f>
        <v>#REF!</v>
      </c>
      <c r="X392" s="257" t="e">
        <f>#REF!+V392</f>
        <v>#REF!</v>
      </c>
      <c r="Y392" s="257" t="e">
        <f>#REF!+W392</f>
        <v>#REF!</v>
      </c>
      <c r="Z392" s="257" t="e">
        <f>#REF!+X392</f>
        <v>#REF!</v>
      </c>
    </row>
    <row r="393" spans="1:26" ht="12.75" hidden="1" customHeight="1" x14ac:dyDescent="0.2">
      <c r="A393" s="259" t="s">
        <v>400</v>
      </c>
      <c r="B393" s="252" t="s">
        <v>343</v>
      </c>
      <c r="C393" s="252" t="s">
        <v>190</v>
      </c>
      <c r="D393" s="252" t="s">
        <v>200</v>
      </c>
      <c r="E393" s="252" t="s">
        <v>464</v>
      </c>
      <c r="F393" s="252" t="s">
        <v>106</v>
      </c>
      <c r="G393" s="257"/>
      <c r="H393" s="257"/>
      <c r="I393" s="257">
        <v>-37</v>
      </c>
      <c r="J393" s="257" t="e">
        <f>#REF!+I393</f>
        <v>#REF!</v>
      </c>
      <c r="K393" s="257">
        <v>-37</v>
      </c>
      <c r="L393" s="257" t="e">
        <f>#REF!+J393</f>
        <v>#REF!</v>
      </c>
      <c r="M393" s="257" t="e">
        <f>#REF!+K393</f>
        <v>#REF!</v>
      </c>
      <c r="N393" s="257" t="e">
        <f>#REF!+L393</f>
        <v>#REF!</v>
      </c>
      <c r="O393" s="257" t="e">
        <f>#REF!+M393</f>
        <v>#REF!</v>
      </c>
      <c r="P393" s="257" t="e">
        <f>#REF!+N393</f>
        <v>#REF!</v>
      </c>
      <c r="Q393" s="257" t="e">
        <f>#REF!+O393</f>
        <v>#REF!</v>
      </c>
      <c r="R393" s="257" t="e">
        <f>#REF!+P393</f>
        <v>#REF!</v>
      </c>
      <c r="S393" s="257" t="e">
        <f>#REF!+Q393</f>
        <v>#REF!</v>
      </c>
      <c r="T393" s="257" t="e">
        <f>#REF!+R393</f>
        <v>#REF!</v>
      </c>
      <c r="U393" s="257" t="e">
        <f>#REF!+S393</f>
        <v>#REF!</v>
      </c>
      <c r="V393" s="257" t="e">
        <f>#REF!+T393</f>
        <v>#REF!</v>
      </c>
      <c r="W393" s="257" t="e">
        <f>#REF!+U393</f>
        <v>#REF!</v>
      </c>
      <c r="X393" s="257" t="e">
        <f>#REF!+V393</f>
        <v>#REF!</v>
      </c>
      <c r="Y393" s="257" t="e">
        <f>#REF!+W393</f>
        <v>#REF!</v>
      </c>
      <c r="Z393" s="257" t="e">
        <f>#REF!+X393</f>
        <v>#REF!</v>
      </c>
    </row>
    <row r="394" spans="1:26" ht="33.75" customHeight="1" x14ac:dyDescent="0.2">
      <c r="A394" s="259" t="s">
        <v>978</v>
      </c>
      <c r="B394" s="252" t="s">
        <v>343</v>
      </c>
      <c r="C394" s="252" t="s">
        <v>190</v>
      </c>
      <c r="D394" s="252" t="s">
        <v>200</v>
      </c>
      <c r="E394" s="252" t="s">
        <v>1023</v>
      </c>
      <c r="F394" s="252"/>
      <c r="G394" s="257">
        <f>G395+G399+G400+G401+G403+G404</f>
        <v>0</v>
      </c>
      <c r="H394" s="257">
        <f>H395+H399+H400+H401+H403+H404+H396</f>
        <v>5345</v>
      </c>
      <c r="I394" s="257">
        <f>I395+I399+I400+I401+I403+I404+I396</f>
        <v>0</v>
      </c>
      <c r="J394" s="257">
        <f>J395+J399+J400+J401+J403+J404+J396</f>
        <v>5345</v>
      </c>
      <c r="K394" s="257">
        <f t="shared" ref="K394:Q394" si="614">K395+K399+K400+K401+K403+K404+K396+K405</f>
        <v>-199</v>
      </c>
      <c r="L394" s="257">
        <f t="shared" si="614"/>
        <v>5920</v>
      </c>
      <c r="M394" s="257">
        <f t="shared" si="614"/>
        <v>5920</v>
      </c>
      <c r="N394" s="257">
        <f t="shared" si="614"/>
        <v>0</v>
      </c>
      <c r="O394" s="257">
        <f t="shared" si="614"/>
        <v>5920</v>
      </c>
      <c r="P394" s="257">
        <f t="shared" si="614"/>
        <v>5920</v>
      </c>
      <c r="Q394" s="257">
        <f t="shared" si="614"/>
        <v>-20</v>
      </c>
      <c r="R394" s="257">
        <f>R395+R399+R400+R401+R403+R404+R396+R405+R397+R398</f>
        <v>5900</v>
      </c>
      <c r="S394" s="257">
        <f>S395+S399+S400+S401+S403+S404+S396+S405+S397+S398</f>
        <v>1036.2</v>
      </c>
      <c r="T394" s="257">
        <f t="shared" ref="T394:Z394" si="615">T395+T396+T397+T398+T399+T400+T401+T402+T403+T404</f>
        <v>4947</v>
      </c>
      <c r="U394" s="257">
        <f t="shared" si="615"/>
        <v>2714</v>
      </c>
      <c r="V394" s="257">
        <f t="shared" si="615"/>
        <v>4947</v>
      </c>
      <c r="W394" s="257">
        <f t="shared" si="615"/>
        <v>244</v>
      </c>
      <c r="X394" s="257">
        <f t="shared" si="615"/>
        <v>4689.6000000000004</v>
      </c>
      <c r="Y394" s="257">
        <f t="shared" si="615"/>
        <v>542</v>
      </c>
      <c r="Z394" s="257">
        <f t="shared" si="615"/>
        <v>5231.6000000000004</v>
      </c>
    </row>
    <row r="395" spans="1:26" ht="12.75" customHeight="1" x14ac:dyDescent="0.2">
      <c r="A395" s="259" t="s">
        <v>95</v>
      </c>
      <c r="B395" s="252" t="s">
        <v>343</v>
      </c>
      <c r="C395" s="252" t="s">
        <v>190</v>
      </c>
      <c r="D395" s="252" t="s">
        <v>200</v>
      </c>
      <c r="E395" s="252" t="s">
        <v>1023</v>
      </c>
      <c r="F395" s="252" t="s">
        <v>96</v>
      </c>
      <c r="G395" s="257"/>
      <c r="H395" s="257">
        <v>4500</v>
      </c>
      <c r="I395" s="257">
        <v>-1000</v>
      </c>
      <c r="J395" s="257">
        <f t="shared" ref="J395:J404" si="616">H395+I395</f>
        <v>3500</v>
      </c>
      <c r="K395" s="257">
        <v>-200</v>
      </c>
      <c r="L395" s="257">
        <v>3800</v>
      </c>
      <c r="M395" s="257">
        <v>3800</v>
      </c>
      <c r="N395" s="257">
        <v>0</v>
      </c>
      <c r="O395" s="257">
        <f>M395+N395</f>
        <v>3800</v>
      </c>
      <c r="P395" s="257">
        <v>3800</v>
      </c>
      <c r="Q395" s="257">
        <v>0</v>
      </c>
      <c r="R395" s="257">
        <f t="shared" si="574"/>
        <v>3800</v>
      </c>
      <c r="S395" s="257">
        <f>-800+768.2</f>
        <v>-31.799999999999955</v>
      </c>
      <c r="T395" s="257">
        <f>3000-1041</f>
        <v>1959</v>
      </c>
      <c r="U395" s="257">
        <f>1666+700</f>
        <v>2366</v>
      </c>
      <c r="V395" s="257">
        <v>3000</v>
      </c>
      <c r="W395" s="257">
        <f>-1033+461</f>
        <v>-572</v>
      </c>
      <c r="X395" s="257">
        <v>2843</v>
      </c>
      <c r="Y395" s="257">
        <v>-360</v>
      </c>
      <c r="Z395" s="257">
        <f t="shared" ref="Z395:Z405" si="617">X395+Y395</f>
        <v>2483</v>
      </c>
    </row>
    <row r="396" spans="1:26" ht="30.75" customHeight="1" x14ac:dyDescent="0.2">
      <c r="A396" s="375" t="s">
        <v>898</v>
      </c>
      <c r="B396" s="252" t="s">
        <v>343</v>
      </c>
      <c r="C396" s="252" t="s">
        <v>190</v>
      </c>
      <c r="D396" s="252" t="s">
        <v>200</v>
      </c>
      <c r="E396" s="252" t="s">
        <v>1023</v>
      </c>
      <c r="F396" s="252" t="s">
        <v>896</v>
      </c>
      <c r="G396" s="257"/>
      <c r="H396" s="257">
        <v>0</v>
      </c>
      <c r="I396" s="257">
        <v>1000</v>
      </c>
      <c r="J396" s="257">
        <f>H396+I396</f>
        <v>1000</v>
      </c>
      <c r="K396" s="257">
        <v>0</v>
      </c>
      <c r="L396" s="257">
        <v>1200</v>
      </c>
      <c r="M396" s="257">
        <v>1200</v>
      </c>
      <c r="N396" s="257">
        <v>0</v>
      </c>
      <c r="O396" s="257">
        <f t="shared" ref="O396:O405" si="618">M396+N396</f>
        <v>1200</v>
      </c>
      <c r="P396" s="257">
        <v>1200</v>
      </c>
      <c r="Q396" s="257">
        <v>0</v>
      </c>
      <c r="R396" s="257">
        <f t="shared" si="574"/>
        <v>1200</v>
      </c>
      <c r="S396" s="257">
        <f>-241+137+43</f>
        <v>-61</v>
      </c>
      <c r="T396" s="257">
        <v>959</v>
      </c>
      <c r="U396" s="257">
        <f>137+211</f>
        <v>348</v>
      </c>
      <c r="V396" s="257">
        <v>959</v>
      </c>
      <c r="W396" s="257">
        <f>-364+139</f>
        <v>-225</v>
      </c>
      <c r="X396" s="257">
        <v>858.6</v>
      </c>
      <c r="Y396" s="257">
        <v>-109</v>
      </c>
      <c r="Z396" s="257">
        <f t="shared" si="617"/>
        <v>749.6</v>
      </c>
    </row>
    <row r="397" spans="1:26" ht="16.5" customHeight="1" x14ac:dyDescent="0.2">
      <c r="A397" s="259" t="s">
        <v>907</v>
      </c>
      <c r="B397" s="252" t="s">
        <v>343</v>
      </c>
      <c r="C397" s="252" t="s">
        <v>190</v>
      </c>
      <c r="D397" s="252" t="s">
        <v>200</v>
      </c>
      <c r="E397" s="252" t="s">
        <v>1295</v>
      </c>
      <c r="F397" s="252" t="s">
        <v>96</v>
      </c>
      <c r="G397" s="257"/>
      <c r="H397" s="257"/>
      <c r="I397" s="257"/>
      <c r="J397" s="257"/>
      <c r="K397" s="257"/>
      <c r="L397" s="257"/>
      <c r="M397" s="257"/>
      <c r="N397" s="257"/>
      <c r="O397" s="257"/>
      <c r="P397" s="257"/>
      <c r="Q397" s="257"/>
      <c r="R397" s="257">
        <v>0</v>
      </c>
      <c r="S397" s="257">
        <f>800</f>
        <v>800</v>
      </c>
      <c r="T397" s="257">
        <f t="shared" ref="T397:T405" si="619">R397+S397</f>
        <v>800</v>
      </c>
      <c r="U397" s="257">
        <v>0</v>
      </c>
      <c r="V397" s="257">
        <v>0</v>
      </c>
      <c r="W397" s="257">
        <v>800</v>
      </c>
      <c r="X397" s="257">
        <v>0</v>
      </c>
      <c r="Y397" s="257">
        <v>800</v>
      </c>
      <c r="Z397" s="257">
        <f t="shared" si="617"/>
        <v>800</v>
      </c>
    </row>
    <row r="398" spans="1:26" ht="30.75" customHeight="1" x14ac:dyDescent="0.2">
      <c r="A398" s="375" t="s">
        <v>898</v>
      </c>
      <c r="B398" s="252" t="s">
        <v>343</v>
      </c>
      <c r="C398" s="252" t="s">
        <v>190</v>
      </c>
      <c r="D398" s="252" t="s">
        <v>200</v>
      </c>
      <c r="E398" s="252" t="s">
        <v>1295</v>
      </c>
      <c r="F398" s="252" t="s">
        <v>896</v>
      </c>
      <c r="G398" s="257"/>
      <c r="H398" s="257"/>
      <c r="I398" s="257"/>
      <c r="J398" s="257"/>
      <c r="K398" s="257"/>
      <c r="L398" s="257"/>
      <c r="M398" s="257"/>
      <c r="N398" s="257"/>
      <c r="O398" s="257"/>
      <c r="P398" s="257"/>
      <c r="Q398" s="257"/>
      <c r="R398" s="257">
        <v>0</v>
      </c>
      <c r="S398" s="257">
        <f>241</f>
        <v>241</v>
      </c>
      <c r="T398" s="257">
        <f t="shared" si="619"/>
        <v>241</v>
      </c>
      <c r="U398" s="257">
        <v>0</v>
      </c>
      <c r="V398" s="257">
        <v>0</v>
      </c>
      <c r="W398" s="257">
        <v>241</v>
      </c>
      <c r="X398" s="257">
        <v>0</v>
      </c>
      <c r="Y398" s="257">
        <v>241</v>
      </c>
      <c r="Z398" s="257">
        <f t="shared" si="617"/>
        <v>241</v>
      </c>
    </row>
    <row r="399" spans="1:26" ht="13.5" customHeight="1" x14ac:dyDescent="0.2">
      <c r="A399" s="259" t="s">
        <v>97</v>
      </c>
      <c r="B399" s="252" t="s">
        <v>343</v>
      </c>
      <c r="C399" s="252" t="s">
        <v>190</v>
      </c>
      <c r="D399" s="252" t="s">
        <v>200</v>
      </c>
      <c r="E399" s="252" t="s">
        <v>1023</v>
      </c>
      <c r="F399" s="252" t="s">
        <v>98</v>
      </c>
      <c r="G399" s="257"/>
      <c r="H399" s="257">
        <v>98</v>
      </c>
      <c r="I399" s="257">
        <v>0</v>
      </c>
      <c r="J399" s="257">
        <f t="shared" si="616"/>
        <v>98</v>
      </c>
      <c r="K399" s="257">
        <v>0</v>
      </c>
      <c r="L399" s="257">
        <v>80</v>
      </c>
      <c r="M399" s="257">
        <v>80</v>
      </c>
      <c r="N399" s="257">
        <v>0</v>
      </c>
      <c r="O399" s="257">
        <f t="shared" si="618"/>
        <v>80</v>
      </c>
      <c r="P399" s="257">
        <v>80</v>
      </c>
      <c r="Q399" s="257">
        <v>0</v>
      </c>
      <c r="R399" s="257">
        <f t="shared" si="574"/>
        <v>80</v>
      </c>
      <c r="S399" s="257">
        <v>-20</v>
      </c>
      <c r="T399" s="257">
        <f t="shared" si="619"/>
        <v>60</v>
      </c>
      <c r="U399" s="257">
        <v>0</v>
      </c>
      <c r="V399" s="257">
        <v>60</v>
      </c>
      <c r="W399" s="257">
        <v>0</v>
      </c>
      <c r="X399" s="257">
        <v>60</v>
      </c>
      <c r="Y399" s="257">
        <v>-30</v>
      </c>
      <c r="Z399" s="257">
        <f t="shared" si="617"/>
        <v>30</v>
      </c>
    </row>
    <row r="400" spans="1:26" ht="12.75" hidden="1" customHeight="1" x14ac:dyDescent="0.2">
      <c r="A400" s="259" t="s">
        <v>99</v>
      </c>
      <c r="B400" s="252" t="s">
        <v>343</v>
      </c>
      <c r="C400" s="252" t="s">
        <v>190</v>
      </c>
      <c r="D400" s="252" t="s">
        <v>200</v>
      </c>
      <c r="E400" s="252" t="s">
        <v>1023</v>
      </c>
      <c r="F400" s="252" t="s">
        <v>100</v>
      </c>
      <c r="G400" s="257"/>
      <c r="H400" s="257">
        <v>250</v>
      </c>
      <c r="I400" s="257">
        <v>0</v>
      </c>
      <c r="J400" s="257">
        <f t="shared" si="616"/>
        <v>250</v>
      </c>
      <c r="K400" s="257">
        <v>0</v>
      </c>
      <c r="L400" s="257">
        <v>280</v>
      </c>
      <c r="M400" s="257">
        <v>280</v>
      </c>
      <c r="N400" s="257">
        <v>0</v>
      </c>
      <c r="O400" s="257">
        <f t="shared" si="618"/>
        <v>280</v>
      </c>
      <c r="P400" s="257">
        <v>280</v>
      </c>
      <c r="Q400" s="257">
        <v>0</v>
      </c>
      <c r="R400" s="257">
        <f t="shared" si="574"/>
        <v>280</v>
      </c>
      <c r="S400" s="257">
        <v>128</v>
      </c>
      <c r="T400" s="257">
        <f t="shared" si="619"/>
        <v>408</v>
      </c>
      <c r="U400" s="257">
        <v>0</v>
      </c>
      <c r="V400" s="257">
        <v>408</v>
      </c>
      <c r="W400" s="257">
        <v>-408</v>
      </c>
      <c r="X400" s="257">
        <v>0</v>
      </c>
      <c r="Y400" s="257">
        <v>0</v>
      </c>
      <c r="Z400" s="257">
        <f t="shared" si="617"/>
        <v>0</v>
      </c>
    </row>
    <row r="401" spans="1:26" ht="12.75" customHeight="1" x14ac:dyDescent="0.2">
      <c r="A401" s="259" t="s">
        <v>93</v>
      </c>
      <c r="B401" s="252" t="s">
        <v>343</v>
      </c>
      <c r="C401" s="252" t="s">
        <v>190</v>
      </c>
      <c r="D401" s="252" t="s">
        <v>200</v>
      </c>
      <c r="E401" s="252" t="s">
        <v>1023</v>
      </c>
      <c r="F401" s="252" t="s">
        <v>94</v>
      </c>
      <c r="G401" s="257"/>
      <c r="H401" s="257">
        <v>437</v>
      </c>
      <c r="I401" s="257">
        <v>0</v>
      </c>
      <c r="J401" s="257">
        <f t="shared" si="616"/>
        <v>437</v>
      </c>
      <c r="K401" s="257">
        <v>0</v>
      </c>
      <c r="L401" s="257">
        <v>480</v>
      </c>
      <c r="M401" s="257">
        <v>480</v>
      </c>
      <c r="N401" s="257">
        <v>0</v>
      </c>
      <c r="O401" s="257">
        <f t="shared" si="618"/>
        <v>480</v>
      </c>
      <c r="P401" s="257">
        <v>480</v>
      </c>
      <c r="Q401" s="257">
        <v>0</v>
      </c>
      <c r="R401" s="257">
        <f t="shared" si="574"/>
        <v>480</v>
      </c>
      <c r="S401" s="257">
        <v>-50</v>
      </c>
      <c r="T401" s="257">
        <f t="shared" si="619"/>
        <v>430</v>
      </c>
      <c r="U401" s="257">
        <v>-80</v>
      </c>
      <c r="V401" s="257">
        <v>430</v>
      </c>
      <c r="W401" s="257">
        <v>328</v>
      </c>
      <c r="X401" s="257">
        <v>838</v>
      </c>
      <c r="Y401" s="257">
        <v>-80</v>
      </c>
      <c r="Z401" s="257">
        <f t="shared" si="617"/>
        <v>758</v>
      </c>
    </row>
    <row r="402" spans="1:26" ht="12.75" customHeight="1" x14ac:dyDescent="0.2">
      <c r="A402" s="259" t="s">
        <v>1168</v>
      </c>
      <c r="B402" s="252" t="s">
        <v>343</v>
      </c>
      <c r="C402" s="252" t="s">
        <v>190</v>
      </c>
      <c r="D402" s="252" t="s">
        <v>200</v>
      </c>
      <c r="E402" s="252" t="s">
        <v>1023</v>
      </c>
      <c r="F402" s="252" t="s">
        <v>1166</v>
      </c>
      <c r="G402" s="257"/>
      <c r="H402" s="257">
        <v>437</v>
      </c>
      <c r="I402" s="257">
        <v>0</v>
      </c>
      <c r="J402" s="257">
        <f t="shared" ref="J402" si="620">H402+I402</f>
        <v>437</v>
      </c>
      <c r="K402" s="257">
        <v>0</v>
      </c>
      <c r="L402" s="257">
        <v>480</v>
      </c>
      <c r="M402" s="257">
        <v>480</v>
      </c>
      <c r="N402" s="257">
        <v>0</v>
      </c>
      <c r="O402" s="257">
        <f t="shared" ref="O402" si="621">M402+N402</f>
        <v>480</v>
      </c>
      <c r="P402" s="257">
        <v>480</v>
      </c>
      <c r="Q402" s="257">
        <v>0</v>
      </c>
      <c r="R402" s="257">
        <f t="shared" ref="R402" si="622">P402+Q402</f>
        <v>480</v>
      </c>
      <c r="S402" s="257">
        <v>-50</v>
      </c>
      <c r="T402" s="257">
        <v>0</v>
      </c>
      <c r="U402" s="257">
        <v>80</v>
      </c>
      <c r="V402" s="257">
        <v>0</v>
      </c>
      <c r="W402" s="257">
        <v>80</v>
      </c>
      <c r="X402" s="257">
        <v>0</v>
      </c>
      <c r="Y402" s="257">
        <v>80</v>
      </c>
      <c r="Z402" s="257">
        <f t="shared" si="617"/>
        <v>80</v>
      </c>
    </row>
    <row r="403" spans="1:26" ht="12.75" customHeight="1" x14ac:dyDescent="0.2">
      <c r="A403" s="259" t="s">
        <v>103</v>
      </c>
      <c r="B403" s="252" t="s">
        <v>343</v>
      </c>
      <c r="C403" s="252" t="s">
        <v>190</v>
      </c>
      <c r="D403" s="252" t="s">
        <v>200</v>
      </c>
      <c r="E403" s="252" t="s">
        <v>1023</v>
      </c>
      <c r="F403" s="252" t="s">
        <v>104</v>
      </c>
      <c r="G403" s="257"/>
      <c r="H403" s="257">
        <v>23</v>
      </c>
      <c r="I403" s="257">
        <v>0</v>
      </c>
      <c r="J403" s="257">
        <f t="shared" si="616"/>
        <v>23</v>
      </c>
      <c r="K403" s="257">
        <v>0</v>
      </c>
      <c r="L403" s="257">
        <v>23</v>
      </c>
      <c r="M403" s="257">
        <v>23</v>
      </c>
      <c r="N403" s="257">
        <v>0</v>
      </c>
      <c r="O403" s="257">
        <f t="shared" si="618"/>
        <v>23</v>
      </c>
      <c r="P403" s="257">
        <v>23</v>
      </c>
      <c r="Q403" s="257">
        <v>0</v>
      </c>
      <c r="R403" s="257">
        <f t="shared" si="574"/>
        <v>23</v>
      </c>
      <c r="S403" s="257">
        <v>2</v>
      </c>
      <c r="T403" s="257">
        <f t="shared" si="619"/>
        <v>25</v>
      </c>
      <c r="U403" s="257">
        <v>0</v>
      </c>
      <c r="V403" s="257">
        <v>25</v>
      </c>
      <c r="W403" s="257">
        <v>0</v>
      </c>
      <c r="X403" s="257">
        <v>25</v>
      </c>
      <c r="Y403" s="257">
        <v>0</v>
      </c>
      <c r="Z403" s="257">
        <f t="shared" si="617"/>
        <v>25</v>
      </c>
    </row>
    <row r="404" spans="1:26" ht="12.75" customHeight="1" x14ac:dyDescent="0.2">
      <c r="A404" s="259" t="s">
        <v>400</v>
      </c>
      <c r="B404" s="252" t="s">
        <v>343</v>
      </c>
      <c r="C404" s="252" t="s">
        <v>190</v>
      </c>
      <c r="D404" s="252" t="s">
        <v>200</v>
      </c>
      <c r="E404" s="252" t="s">
        <v>1023</v>
      </c>
      <c r="F404" s="252" t="s">
        <v>106</v>
      </c>
      <c r="G404" s="257"/>
      <c r="H404" s="257">
        <v>37</v>
      </c>
      <c r="I404" s="257">
        <v>0</v>
      </c>
      <c r="J404" s="257">
        <f t="shared" si="616"/>
        <v>37</v>
      </c>
      <c r="K404" s="257">
        <v>-0.28000000000000003</v>
      </c>
      <c r="L404" s="257">
        <v>37</v>
      </c>
      <c r="M404" s="257">
        <v>37</v>
      </c>
      <c r="N404" s="257">
        <v>0</v>
      </c>
      <c r="O404" s="257">
        <f t="shared" si="618"/>
        <v>37</v>
      </c>
      <c r="P404" s="257">
        <v>37</v>
      </c>
      <c r="Q404" s="257">
        <v>0</v>
      </c>
      <c r="R404" s="257">
        <f t="shared" si="574"/>
        <v>37</v>
      </c>
      <c r="S404" s="257">
        <v>28</v>
      </c>
      <c r="T404" s="257">
        <f t="shared" si="619"/>
        <v>65</v>
      </c>
      <c r="U404" s="257">
        <v>0</v>
      </c>
      <c r="V404" s="257">
        <v>65</v>
      </c>
      <c r="W404" s="257">
        <v>0</v>
      </c>
      <c r="X404" s="257">
        <v>65</v>
      </c>
      <c r="Y404" s="257">
        <v>0</v>
      </c>
      <c r="Z404" s="257">
        <f t="shared" si="617"/>
        <v>65</v>
      </c>
    </row>
    <row r="405" spans="1:26" ht="12.75" hidden="1" customHeight="1" x14ac:dyDescent="0.2">
      <c r="A405" s="259" t="s">
        <v>906</v>
      </c>
      <c r="B405" s="252" t="s">
        <v>343</v>
      </c>
      <c r="C405" s="252" t="s">
        <v>190</v>
      </c>
      <c r="D405" s="252" t="s">
        <v>200</v>
      </c>
      <c r="E405" s="252" t="s">
        <v>1023</v>
      </c>
      <c r="F405" s="252" t="s">
        <v>905</v>
      </c>
      <c r="G405" s="257"/>
      <c r="H405" s="257">
        <v>37</v>
      </c>
      <c r="I405" s="257">
        <v>0</v>
      </c>
      <c r="J405" s="257">
        <v>0</v>
      </c>
      <c r="K405" s="257">
        <v>1.28</v>
      </c>
      <c r="L405" s="257">
        <v>20</v>
      </c>
      <c r="M405" s="257">
        <v>20</v>
      </c>
      <c r="N405" s="257">
        <v>0</v>
      </c>
      <c r="O405" s="257">
        <f t="shared" si="618"/>
        <v>20</v>
      </c>
      <c r="P405" s="257">
        <v>20</v>
      </c>
      <c r="Q405" s="257">
        <v>-20</v>
      </c>
      <c r="R405" s="257">
        <f t="shared" si="574"/>
        <v>0</v>
      </c>
      <c r="S405" s="257">
        <v>0</v>
      </c>
      <c r="T405" s="257">
        <f t="shared" si="619"/>
        <v>0</v>
      </c>
      <c r="U405" s="257">
        <v>0</v>
      </c>
      <c r="V405" s="257">
        <f t="shared" ref="V405" si="623">T405+U405</f>
        <v>0</v>
      </c>
      <c r="W405" s="257">
        <v>0</v>
      </c>
      <c r="X405" s="257">
        <f t="shared" ref="X405" si="624">V405+W405</f>
        <v>0</v>
      </c>
      <c r="Y405" s="257">
        <v>0</v>
      </c>
      <c r="Z405" s="257">
        <f t="shared" si="617"/>
        <v>0</v>
      </c>
    </row>
    <row r="406" spans="1:26" ht="20.25" customHeight="1" x14ac:dyDescent="0.2">
      <c r="A406" s="462" t="s">
        <v>206</v>
      </c>
      <c r="B406" s="250" t="s">
        <v>343</v>
      </c>
      <c r="C406" s="250" t="s">
        <v>190</v>
      </c>
      <c r="D406" s="250" t="s">
        <v>207</v>
      </c>
      <c r="E406" s="252"/>
      <c r="F406" s="252"/>
      <c r="G406" s="257"/>
      <c r="H406" s="275" t="e">
        <f t="shared" ref="H406:Q406" si="625">H407</f>
        <v>#REF!</v>
      </c>
      <c r="I406" s="275" t="e">
        <f t="shared" si="625"/>
        <v>#REF!</v>
      </c>
      <c r="J406" s="275" t="e">
        <f t="shared" si="625"/>
        <v>#REF!</v>
      </c>
      <c r="K406" s="275" t="e">
        <f t="shared" si="625"/>
        <v>#REF!</v>
      </c>
      <c r="L406" s="275">
        <f t="shared" si="625"/>
        <v>3240.0299999999997</v>
      </c>
      <c r="M406" s="275">
        <f t="shared" si="625"/>
        <v>3240.03</v>
      </c>
      <c r="N406" s="275">
        <f t="shared" si="625"/>
        <v>0</v>
      </c>
      <c r="O406" s="275">
        <f t="shared" si="625"/>
        <v>3240.03</v>
      </c>
      <c r="P406" s="275">
        <f t="shared" si="625"/>
        <v>3240.03</v>
      </c>
      <c r="Q406" s="275">
        <f t="shared" si="625"/>
        <v>0</v>
      </c>
      <c r="R406" s="275">
        <f>R407+R413</f>
        <v>3240.03</v>
      </c>
      <c r="S406" s="275">
        <f t="shared" ref="S406:T406" si="626">S407+S413</f>
        <v>511.97</v>
      </c>
      <c r="T406" s="275">
        <f t="shared" si="626"/>
        <v>3050</v>
      </c>
      <c r="U406" s="275">
        <f t="shared" ref="U406:V406" si="627">U407+U413</f>
        <v>240</v>
      </c>
      <c r="V406" s="275">
        <f t="shared" si="627"/>
        <v>2400</v>
      </c>
      <c r="W406" s="275">
        <f t="shared" ref="W406:X406" si="628">W407+W413</f>
        <v>5105.5999999999995</v>
      </c>
      <c r="X406" s="275">
        <f t="shared" si="628"/>
        <v>8105</v>
      </c>
      <c r="Y406" s="275">
        <f t="shared" ref="Y406:Z406" si="629">Y407+Y413</f>
        <v>-263.27999999999997</v>
      </c>
      <c r="Z406" s="275">
        <f t="shared" si="629"/>
        <v>7841.72</v>
      </c>
    </row>
    <row r="407" spans="1:26" ht="38.25" customHeight="1" x14ac:dyDescent="0.2">
      <c r="A407" s="259" t="s">
        <v>979</v>
      </c>
      <c r="B407" s="252" t="s">
        <v>343</v>
      </c>
      <c r="C407" s="252" t="s">
        <v>190</v>
      </c>
      <c r="D407" s="252" t="s">
        <v>207</v>
      </c>
      <c r="E407" s="252"/>
      <c r="F407" s="252"/>
      <c r="G407" s="257" t="e">
        <f>#REF!+G412</f>
        <v>#REF!</v>
      </c>
      <c r="H407" s="257" t="e">
        <f>#REF!+H412+H408+H409</f>
        <v>#REF!</v>
      </c>
      <c r="I407" s="257" t="e">
        <f>#REF!+I412+I408+I409</f>
        <v>#REF!</v>
      </c>
      <c r="J407" s="257" t="e">
        <f>#REF!+J412+J408+J409</f>
        <v>#REF!</v>
      </c>
      <c r="K407" s="257" t="e">
        <f>#REF!+K412+K408+K409</f>
        <v>#REF!</v>
      </c>
      <c r="L407" s="257">
        <f>L409+L412+L408</f>
        <v>3240.0299999999997</v>
      </c>
      <c r="M407" s="257">
        <f>M412+M408+M409</f>
        <v>3240.03</v>
      </c>
      <c r="N407" s="257">
        <f t="shared" ref="N407:Q407" si="630">N412+N408+N409</f>
        <v>0</v>
      </c>
      <c r="O407" s="257">
        <f t="shared" si="630"/>
        <v>3240.03</v>
      </c>
      <c r="P407" s="257">
        <f t="shared" si="630"/>
        <v>3240.03</v>
      </c>
      <c r="Q407" s="257">
        <f t="shared" si="630"/>
        <v>0</v>
      </c>
      <c r="R407" s="257">
        <f>R412+R408+R409+R410+R411</f>
        <v>3240.03</v>
      </c>
      <c r="S407" s="257">
        <f t="shared" ref="S407:T407" si="631">S412+S408+S409+S410+S411</f>
        <v>511.97</v>
      </c>
      <c r="T407" s="257">
        <f t="shared" si="631"/>
        <v>3050</v>
      </c>
      <c r="U407" s="257">
        <f t="shared" ref="U407:V407" si="632">U412+U408+U409+U410+U411</f>
        <v>240</v>
      </c>
      <c r="V407" s="257">
        <f t="shared" si="632"/>
        <v>2400</v>
      </c>
      <c r="W407" s="257">
        <f t="shared" ref="W407:X407" si="633">W412+W408+W409+W410+W411</f>
        <v>4529.3999999999996</v>
      </c>
      <c r="X407" s="257">
        <f t="shared" si="633"/>
        <v>8105</v>
      </c>
      <c r="Y407" s="257">
        <f t="shared" ref="Y407:Z407" si="634">Y412+Y408+Y409+Y410+Y411</f>
        <v>-263.27999999999997</v>
      </c>
      <c r="Z407" s="257">
        <f t="shared" si="634"/>
        <v>7841.72</v>
      </c>
    </row>
    <row r="408" spans="1:26" ht="12.75" customHeight="1" x14ac:dyDescent="0.2">
      <c r="A408" s="259" t="s">
        <v>907</v>
      </c>
      <c r="B408" s="252" t="s">
        <v>343</v>
      </c>
      <c r="C408" s="252" t="s">
        <v>190</v>
      </c>
      <c r="D408" s="252" t="s">
        <v>207</v>
      </c>
      <c r="E408" s="252" t="s">
        <v>1023</v>
      </c>
      <c r="F408" s="252" t="s">
        <v>96</v>
      </c>
      <c r="G408" s="257"/>
      <c r="H408" s="257">
        <v>0</v>
      </c>
      <c r="I408" s="257">
        <v>1650</v>
      </c>
      <c r="J408" s="257">
        <f>H408+I408</f>
        <v>1650</v>
      </c>
      <c r="K408" s="257">
        <v>200</v>
      </c>
      <c r="L408" s="257">
        <v>2300</v>
      </c>
      <c r="M408" s="257">
        <v>2300</v>
      </c>
      <c r="N408" s="257">
        <v>0</v>
      </c>
      <c r="O408" s="257">
        <f>M408+N408</f>
        <v>2300</v>
      </c>
      <c r="P408" s="257">
        <v>2300</v>
      </c>
      <c r="Q408" s="257">
        <v>0</v>
      </c>
      <c r="R408" s="257">
        <f t="shared" si="574"/>
        <v>2300</v>
      </c>
      <c r="S408" s="257">
        <f>-500+17.25+543-173.1</f>
        <v>-112.85</v>
      </c>
      <c r="T408" s="257">
        <v>1800</v>
      </c>
      <c r="U408" s="257">
        <f>-605.87+346+345</f>
        <v>85.13</v>
      </c>
      <c r="V408" s="257">
        <v>1800</v>
      </c>
      <c r="W408" s="257">
        <f>1496+606</f>
        <v>2102</v>
      </c>
      <c r="X408" s="257">
        <v>6260</v>
      </c>
      <c r="Y408" s="257">
        <v>-854</v>
      </c>
      <c r="Z408" s="257">
        <f t="shared" ref="Z408:Z413" si="635">X408+Y408</f>
        <v>5406</v>
      </c>
    </row>
    <row r="409" spans="1:26" ht="31.5" customHeight="1" x14ac:dyDescent="0.2">
      <c r="A409" s="375" t="s">
        <v>898</v>
      </c>
      <c r="B409" s="252" t="s">
        <v>343</v>
      </c>
      <c r="C409" s="252" t="s">
        <v>190</v>
      </c>
      <c r="D409" s="252" t="s">
        <v>207</v>
      </c>
      <c r="E409" s="252" t="s">
        <v>1023</v>
      </c>
      <c r="F409" s="252" t="s">
        <v>896</v>
      </c>
      <c r="G409" s="257"/>
      <c r="H409" s="257">
        <v>0</v>
      </c>
      <c r="I409" s="257">
        <v>550</v>
      </c>
      <c r="J409" s="257">
        <f>H409+I409</f>
        <v>550</v>
      </c>
      <c r="K409" s="257">
        <v>0</v>
      </c>
      <c r="L409" s="257">
        <v>700</v>
      </c>
      <c r="M409" s="257">
        <v>700</v>
      </c>
      <c r="N409" s="257">
        <v>0</v>
      </c>
      <c r="O409" s="257">
        <f t="shared" ref="O409:O412" si="636">M409+N409</f>
        <v>700</v>
      </c>
      <c r="P409" s="257">
        <v>700</v>
      </c>
      <c r="Q409" s="257">
        <v>0</v>
      </c>
      <c r="R409" s="257">
        <f t="shared" si="574"/>
        <v>700</v>
      </c>
      <c r="S409" s="257">
        <f>-150+159-48</f>
        <v>-39</v>
      </c>
      <c r="T409" s="257">
        <v>550</v>
      </c>
      <c r="U409" s="257">
        <f>-157+105+104</f>
        <v>52</v>
      </c>
      <c r="V409" s="257">
        <v>550</v>
      </c>
      <c r="W409" s="257">
        <f>400+1400+183</f>
        <v>1983</v>
      </c>
      <c r="X409" s="257">
        <v>1845</v>
      </c>
      <c r="Y409" s="257">
        <v>-257</v>
      </c>
      <c r="Z409" s="257">
        <f t="shared" si="635"/>
        <v>1588</v>
      </c>
    </row>
    <row r="410" spans="1:26" ht="17.25" customHeight="1" x14ac:dyDescent="0.2">
      <c r="A410" s="259" t="s">
        <v>907</v>
      </c>
      <c r="B410" s="252" t="s">
        <v>343</v>
      </c>
      <c r="C410" s="252" t="s">
        <v>190</v>
      </c>
      <c r="D410" s="252" t="s">
        <v>207</v>
      </c>
      <c r="E410" s="252" t="s">
        <v>1295</v>
      </c>
      <c r="F410" s="252" t="s">
        <v>96</v>
      </c>
      <c r="G410" s="257"/>
      <c r="H410" s="257"/>
      <c r="I410" s="257"/>
      <c r="J410" s="257"/>
      <c r="K410" s="257"/>
      <c r="L410" s="257"/>
      <c r="M410" s="257"/>
      <c r="N410" s="257"/>
      <c r="O410" s="257"/>
      <c r="P410" s="257"/>
      <c r="Q410" s="257"/>
      <c r="R410" s="257"/>
      <c r="S410" s="257">
        <f>482.75+173.1</f>
        <v>655.85</v>
      </c>
      <c r="T410" s="257">
        <v>500</v>
      </c>
      <c r="U410" s="257">
        <v>102.87</v>
      </c>
      <c r="V410" s="257">
        <v>0</v>
      </c>
      <c r="W410" s="257">
        <v>344.4</v>
      </c>
      <c r="X410" s="257">
        <v>0</v>
      </c>
      <c r="Y410" s="257">
        <v>847.72</v>
      </c>
      <c r="Z410" s="257">
        <f t="shared" si="635"/>
        <v>847.72</v>
      </c>
    </row>
    <row r="411" spans="1:26" ht="31.5" hidden="1" customHeight="1" x14ac:dyDescent="0.2">
      <c r="A411" s="375" t="s">
        <v>898</v>
      </c>
      <c r="B411" s="252" t="s">
        <v>343</v>
      </c>
      <c r="C411" s="252" t="s">
        <v>190</v>
      </c>
      <c r="D411" s="252" t="s">
        <v>207</v>
      </c>
      <c r="E411" s="252" t="s">
        <v>1295</v>
      </c>
      <c r="F411" s="252" t="s">
        <v>896</v>
      </c>
      <c r="G411" s="257"/>
      <c r="H411" s="257"/>
      <c r="I411" s="257"/>
      <c r="J411" s="257"/>
      <c r="K411" s="257"/>
      <c r="L411" s="257"/>
      <c r="M411" s="257"/>
      <c r="N411" s="257"/>
      <c r="O411" s="257"/>
      <c r="P411" s="257"/>
      <c r="Q411" s="257"/>
      <c r="R411" s="257"/>
      <c r="S411" s="257">
        <v>198</v>
      </c>
      <c r="T411" s="257">
        <v>150</v>
      </c>
      <c r="U411" s="257">
        <v>0</v>
      </c>
      <c r="V411" s="257">
        <v>0</v>
      </c>
      <c r="W411" s="257">
        <v>150</v>
      </c>
      <c r="X411" s="257">
        <v>0</v>
      </c>
      <c r="Y411" s="257">
        <v>0</v>
      </c>
      <c r="Z411" s="257">
        <f t="shared" si="635"/>
        <v>0</v>
      </c>
    </row>
    <row r="412" spans="1:26" ht="12.75" hidden="1" customHeight="1" x14ac:dyDescent="0.2">
      <c r="A412" s="259" t="s">
        <v>93</v>
      </c>
      <c r="B412" s="252" t="s">
        <v>343</v>
      </c>
      <c r="C412" s="252" t="s">
        <v>190</v>
      </c>
      <c r="D412" s="252" t="s">
        <v>207</v>
      </c>
      <c r="E412" s="252" t="s">
        <v>1023</v>
      </c>
      <c r="F412" s="252" t="s">
        <v>94</v>
      </c>
      <c r="G412" s="257"/>
      <c r="H412" s="257">
        <v>550</v>
      </c>
      <c r="I412" s="257">
        <v>0</v>
      </c>
      <c r="J412" s="257">
        <f>H412+I412</f>
        <v>550</v>
      </c>
      <c r="K412" s="257">
        <v>0</v>
      </c>
      <c r="L412" s="257">
        <v>240.03</v>
      </c>
      <c r="M412" s="257">
        <v>240.03</v>
      </c>
      <c r="N412" s="257">
        <v>0</v>
      </c>
      <c r="O412" s="257">
        <f t="shared" si="636"/>
        <v>240.03</v>
      </c>
      <c r="P412" s="257">
        <v>240.03</v>
      </c>
      <c r="Q412" s="257">
        <v>0</v>
      </c>
      <c r="R412" s="257">
        <f t="shared" si="574"/>
        <v>240.03</v>
      </c>
      <c r="S412" s="257">
        <v>-190.03</v>
      </c>
      <c r="T412" s="257">
        <f t="shared" ref="T412:T413" si="637">R412+S412</f>
        <v>50</v>
      </c>
      <c r="U412" s="257">
        <v>0</v>
      </c>
      <c r="V412" s="257">
        <v>50</v>
      </c>
      <c r="W412" s="257">
        <v>-50</v>
      </c>
      <c r="X412" s="257">
        <v>0</v>
      </c>
      <c r="Y412" s="257">
        <v>0</v>
      </c>
      <c r="Z412" s="257">
        <f t="shared" si="635"/>
        <v>0</v>
      </c>
    </row>
    <row r="413" spans="1:26" ht="33.75" hidden="1" customHeight="1" x14ac:dyDescent="0.2">
      <c r="A413" s="259" t="s">
        <v>1179</v>
      </c>
      <c r="B413" s="252" t="s">
        <v>343</v>
      </c>
      <c r="C413" s="252" t="s">
        <v>190</v>
      </c>
      <c r="D413" s="252" t="s">
        <v>207</v>
      </c>
      <c r="E413" s="252" t="s">
        <v>1178</v>
      </c>
      <c r="F413" s="252" t="s">
        <v>319</v>
      </c>
      <c r="G413" s="257"/>
      <c r="H413" s="257"/>
      <c r="I413" s="257"/>
      <c r="J413" s="257"/>
      <c r="K413" s="257"/>
      <c r="L413" s="257"/>
      <c r="M413" s="257"/>
      <c r="N413" s="257"/>
      <c r="O413" s="257"/>
      <c r="P413" s="257"/>
      <c r="Q413" s="257"/>
      <c r="R413" s="257"/>
      <c r="S413" s="257">
        <v>0</v>
      </c>
      <c r="T413" s="257">
        <f t="shared" si="637"/>
        <v>0</v>
      </c>
      <c r="U413" s="257">
        <v>0</v>
      </c>
      <c r="V413" s="257">
        <f t="shared" ref="V413" si="638">T413+U413</f>
        <v>0</v>
      </c>
      <c r="W413" s="257">
        <v>576.20000000000005</v>
      </c>
      <c r="X413" s="257">
        <v>0</v>
      </c>
      <c r="Y413" s="257">
        <v>0</v>
      </c>
      <c r="Z413" s="257">
        <f t="shared" si="635"/>
        <v>0</v>
      </c>
    </row>
    <row r="414" spans="1:26" s="430" customFormat="1" ht="15.75" customHeight="1" x14ac:dyDescent="0.2">
      <c r="A414" s="462" t="s">
        <v>220</v>
      </c>
      <c r="B414" s="250" t="s">
        <v>343</v>
      </c>
      <c r="C414" s="250" t="s">
        <v>196</v>
      </c>
      <c r="D414" s="250">
        <v>12</v>
      </c>
      <c r="E414" s="250"/>
      <c r="F414" s="250"/>
      <c r="G414" s="275">
        <f>G415+G418</f>
        <v>0</v>
      </c>
      <c r="H414" s="275">
        <f>H415+H417+H418</f>
        <v>1550</v>
      </c>
      <c r="I414" s="275">
        <f>I415+I417+I418</f>
        <v>-120</v>
      </c>
      <c r="J414" s="275">
        <f>H414+I414</f>
        <v>1430</v>
      </c>
      <c r="K414" s="275">
        <f>K415+K417+K418</f>
        <v>-570</v>
      </c>
      <c r="L414" s="275">
        <f>L415+L418</f>
        <v>860</v>
      </c>
      <c r="M414" s="275">
        <f>M415+M418</f>
        <v>860</v>
      </c>
      <c r="N414" s="275">
        <f t="shared" ref="N414:Q414" si="639">N415+N418</f>
        <v>0</v>
      </c>
      <c r="O414" s="275">
        <f t="shared" si="639"/>
        <v>860</v>
      </c>
      <c r="P414" s="275">
        <f t="shared" si="639"/>
        <v>860</v>
      </c>
      <c r="Q414" s="275">
        <f t="shared" si="639"/>
        <v>0</v>
      </c>
      <c r="R414" s="275">
        <f>R415+R418+R421</f>
        <v>860</v>
      </c>
      <c r="S414" s="275">
        <f t="shared" ref="S414:U414" si="640">S415+S418+S421</f>
        <v>-513.1</v>
      </c>
      <c r="T414" s="275">
        <f>T415+T418+T421</f>
        <v>506.9</v>
      </c>
      <c r="U414" s="275">
        <f t="shared" si="640"/>
        <v>-2.8</v>
      </c>
      <c r="V414" s="275">
        <f>V415+V418+V421</f>
        <v>444.1</v>
      </c>
      <c r="W414" s="275">
        <f t="shared" ref="W414:Y414" si="641">W415+W418+W421</f>
        <v>5.0999999999999996</v>
      </c>
      <c r="X414" s="275">
        <f>X415+X418+X421</f>
        <v>317</v>
      </c>
      <c r="Y414" s="275">
        <f t="shared" si="641"/>
        <v>10.400000000000004</v>
      </c>
      <c r="Z414" s="275">
        <f>Z415+Z418+Z421</f>
        <v>327.39999999999998</v>
      </c>
    </row>
    <row r="415" spans="1:26" ht="33" customHeight="1" x14ac:dyDescent="0.2">
      <c r="A415" s="259" t="s">
        <v>994</v>
      </c>
      <c r="B415" s="252" t="s">
        <v>343</v>
      </c>
      <c r="C415" s="252" t="s">
        <v>196</v>
      </c>
      <c r="D415" s="252" t="s">
        <v>205</v>
      </c>
      <c r="E415" s="252" t="s">
        <v>830</v>
      </c>
      <c r="F415" s="252"/>
      <c r="G415" s="257"/>
      <c r="H415" s="257">
        <f>H416</f>
        <v>450</v>
      </c>
      <c r="I415" s="257">
        <f>I416</f>
        <v>0</v>
      </c>
      <c r="J415" s="257">
        <f>J416</f>
        <v>450</v>
      </c>
      <c r="K415" s="257">
        <f>K416</f>
        <v>0</v>
      </c>
      <c r="L415" s="257">
        <f>L416+L417</f>
        <v>700</v>
      </c>
      <c r="M415" s="257">
        <f>M416+M417</f>
        <v>700</v>
      </c>
      <c r="N415" s="257">
        <f t="shared" ref="N415:R415" si="642">N416+N417</f>
        <v>0</v>
      </c>
      <c r="O415" s="257">
        <f t="shared" si="642"/>
        <v>700</v>
      </c>
      <c r="P415" s="257">
        <f t="shared" si="642"/>
        <v>700</v>
      </c>
      <c r="Q415" s="257">
        <f t="shared" si="642"/>
        <v>0</v>
      </c>
      <c r="R415" s="257">
        <f t="shared" si="642"/>
        <v>700</v>
      </c>
      <c r="S415" s="257">
        <f t="shared" ref="S415:T415" si="643">S416+S417</f>
        <v>-500</v>
      </c>
      <c r="T415" s="257">
        <f t="shared" si="643"/>
        <v>300</v>
      </c>
      <c r="U415" s="257">
        <f t="shared" ref="U415:V415" si="644">U416+U417</f>
        <v>0</v>
      </c>
      <c r="V415" s="257">
        <f t="shared" si="644"/>
        <v>300</v>
      </c>
      <c r="W415" s="257">
        <f t="shared" ref="W415:X415" si="645">W416+W417</f>
        <v>0</v>
      </c>
      <c r="X415" s="257">
        <f t="shared" si="645"/>
        <v>160</v>
      </c>
      <c r="Y415" s="257">
        <f t="shared" ref="Y415:Z415" si="646">Y416+Y417</f>
        <v>0</v>
      </c>
      <c r="Z415" s="257">
        <f t="shared" si="646"/>
        <v>160</v>
      </c>
    </row>
    <row r="416" spans="1:26" ht="30" customHeight="1" x14ac:dyDescent="0.2">
      <c r="A416" s="259" t="s">
        <v>742</v>
      </c>
      <c r="B416" s="252" t="s">
        <v>343</v>
      </c>
      <c r="C416" s="252" t="s">
        <v>196</v>
      </c>
      <c r="D416" s="252" t="s">
        <v>205</v>
      </c>
      <c r="E416" s="252" t="s">
        <v>829</v>
      </c>
      <c r="F416" s="252" t="s">
        <v>94</v>
      </c>
      <c r="G416" s="257"/>
      <c r="H416" s="257">
        <v>450</v>
      </c>
      <c r="I416" s="257">
        <v>0</v>
      </c>
      <c r="J416" s="257">
        <f>H416+I416</f>
        <v>450</v>
      </c>
      <c r="K416" s="257">
        <v>0</v>
      </c>
      <c r="L416" s="257">
        <v>200</v>
      </c>
      <c r="M416" s="257">
        <v>200</v>
      </c>
      <c r="N416" s="257">
        <v>0</v>
      </c>
      <c r="O416" s="257">
        <f>M416+N416</f>
        <v>200</v>
      </c>
      <c r="P416" s="257">
        <v>200</v>
      </c>
      <c r="Q416" s="257">
        <v>0</v>
      </c>
      <c r="R416" s="257">
        <f t="shared" si="574"/>
        <v>200</v>
      </c>
      <c r="S416" s="257">
        <v>-100</v>
      </c>
      <c r="T416" s="257">
        <v>150</v>
      </c>
      <c r="U416" s="257">
        <v>0</v>
      </c>
      <c r="V416" s="257">
        <v>150</v>
      </c>
      <c r="W416" s="257">
        <v>0</v>
      </c>
      <c r="X416" s="257">
        <v>80</v>
      </c>
      <c r="Y416" s="257">
        <v>0</v>
      </c>
      <c r="Z416" s="257">
        <f t="shared" ref="Z416:Z417" si="647">X416+Y416</f>
        <v>80</v>
      </c>
    </row>
    <row r="417" spans="1:26" ht="17.25" customHeight="1" x14ac:dyDescent="0.2">
      <c r="A417" s="259" t="s">
        <v>720</v>
      </c>
      <c r="B417" s="252" t="s">
        <v>343</v>
      </c>
      <c r="C417" s="252" t="s">
        <v>196</v>
      </c>
      <c r="D417" s="252" t="s">
        <v>205</v>
      </c>
      <c r="E417" s="252" t="s">
        <v>828</v>
      </c>
      <c r="F417" s="252" t="s">
        <v>94</v>
      </c>
      <c r="G417" s="257"/>
      <c r="H417" s="257">
        <v>900</v>
      </c>
      <c r="I417" s="257">
        <v>-120</v>
      </c>
      <c r="J417" s="257">
        <f>H417+I417</f>
        <v>780</v>
      </c>
      <c r="K417" s="257">
        <v>-570</v>
      </c>
      <c r="L417" s="257">
        <v>500</v>
      </c>
      <c r="M417" s="257">
        <v>500</v>
      </c>
      <c r="N417" s="257">
        <v>0</v>
      </c>
      <c r="O417" s="257">
        <f>M417+N417</f>
        <v>500</v>
      </c>
      <c r="P417" s="257">
        <v>500</v>
      </c>
      <c r="Q417" s="257">
        <v>0</v>
      </c>
      <c r="R417" s="257">
        <f t="shared" si="574"/>
        <v>500</v>
      </c>
      <c r="S417" s="257">
        <v>-400</v>
      </c>
      <c r="T417" s="257">
        <v>150</v>
      </c>
      <c r="U417" s="257">
        <v>0</v>
      </c>
      <c r="V417" s="257">
        <v>150</v>
      </c>
      <c r="W417" s="257">
        <v>0</v>
      </c>
      <c r="X417" s="257">
        <v>80</v>
      </c>
      <c r="Y417" s="257">
        <v>0</v>
      </c>
      <c r="Z417" s="257">
        <f t="shared" si="647"/>
        <v>80</v>
      </c>
    </row>
    <row r="418" spans="1:26" ht="33" customHeight="1" x14ac:dyDescent="0.2">
      <c r="A418" s="259" t="s">
        <v>995</v>
      </c>
      <c r="B418" s="252" t="s">
        <v>343</v>
      </c>
      <c r="C418" s="252" t="s">
        <v>196</v>
      </c>
      <c r="D418" s="252" t="s">
        <v>205</v>
      </c>
      <c r="E418" s="252" t="s">
        <v>827</v>
      </c>
      <c r="F418" s="252"/>
      <c r="G418" s="257"/>
      <c r="H418" s="257">
        <f>H419+H420</f>
        <v>200</v>
      </c>
      <c r="I418" s="257">
        <f>I419+I420</f>
        <v>0</v>
      </c>
      <c r="J418" s="257">
        <f>H418+I418</f>
        <v>200</v>
      </c>
      <c r="K418" s="257">
        <f>K419+K420</f>
        <v>0</v>
      </c>
      <c r="L418" s="257">
        <f>L420+L419</f>
        <v>160</v>
      </c>
      <c r="M418" s="257">
        <f>M420+M419</f>
        <v>160</v>
      </c>
      <c r="N418" s="257">
        <f t="shared" ref="N418:P418" si="648">N420+N419</f>
        <v>0</v>
      </c>
      <c r="O418" s="257">
        <f t="shared" si="648"/>
        <v>160</v>
      </c>
      <c r="P418" s="257">
        <f t="shared" si="648"/>
        <v>160</v>
      </c>
      <c r="Q418" s="257">
        <v>0</v>
      </c>
      <c r="R418" s="257">
        <f>R419+R420</f>
        <v>160</v>
      </c>
      <c r="S418" s="257">
        <f t="shared" ref="S418:T418" si="649">S419+S420</f>
        <v>-60</v>
      </c>
      <c r="T418" s="257">
        <f t="shared" si="649"/>
        <v>160</v>
      </c>
      <c r="U418" s="257">
        <f t="shared" ref="U418:V418" si="650">U419+U420</f>
        <v>0</v>
      </c>
      <c r="V418" s="257">
        <f t="shared" si="650"/>
        <v>100</v>
      </c>
      <c r="W418" s="257">
        <f t="shared" ref="W418:X418" si="651">W419+W420</f>
        <v>0</v>
      </c>
      <c r="X418" s="257">
        <f t="shared" si="651"/>
        <v>100</v>
      </c>
      <c r="Y418" s="257">
        <f t="shared" ref="Y418:Z418" si="652">Y419+Y420</f>
        <v>0</v>
      </c>
      <c r="Z418" s="257">
        <f t="shared" si="652"/>
        <v>100</v>
      </c>
    </row>
    <row r="419" spans="1:26" ht="16.5" customHeight="1" x14ac:dyDescent="0.2">
      <c r="A419" s="259" t="s">
        <v>533</v>
      </c>
      <c r="B419" s="252" t="s">
        <v>343</v>
      </c>
      <c r="C419" s="252" t="s">
        <v>196</v>
      </c>
      <c r="D419" s="252" t="s">
        <v>205</v>
      </c>
      <c r="E419" s="252" t="s">
        <v>826</v>
      </c>
      <c r="F419" s="252" t="s">
        <v>94</v>
      </c>
      <c r="G419" s="257"/>
      <c r="H419" s="257">
        <v>100</v>
      </c>
      <c r="I419" s="257">
        <v>0</v>
      </c>
      <c r="J419" s="257">
        <f>H419+I419</f>
        <v>100</v>
      </c>
      <c r="K419" s="257">
        <v>0</v>
      </c>
      <c r="L419" s="257">
        <v>80</v>
      </c>
      <c r="M419" s="257">
        <v>80</v>
      </c>
      <c r="N419" s="257">
        <v>0</v>
      </c>
      <c r="O419" s="257">
        <f>M419+N419</f>
        <v>80</v>
      </c>
      <c r="P419" s="257">
        <v>80</v>
      </c>
      <c r="Q419" s="257">
        <v>0</v>
      </c>
      <c r="R419" s="257">
        <f t="shared" si="574"/>
        <v>80</v>
      </c>
      <c r="S419" s="257">
        <v>-30</v>
      </c>
      <c r="T419" s="257">
        <v>80</v>
      </c>
      <c r="U419" s="257">
        <v>0</v>
      </c>
      <c r="V419" s="257">
        <v>50</v>
      </c>
      <c r="W419" s="257">
        <v>0</v>
      </c>
      <c r="X419" s="257">
        <v>50</v>
      </c>
      <c r="Y419" s="257">
        <v>0</v>
      </c>
      <c r="Z419" s="257">
        <f t="shared" ref="Z419:Z420" si="653">X419+Y419</f>
        <v>50</v>
      </c>
    </row>
    <row r="420" spans="1:26" ht="18" customHeight="1" x14ac:dyDescent="0.2">
      <c r="A420" s="259" t="s">
        <v>534</v>
      </c>
      <c r="B420" s="252" t="s">
        <v>343</v>
      </c>
      <c r="C420" s="252" t="s">
        <v>196</v>
      </c>
      <c r="D420" s="252" t="s">
        <v>205</v>
      </c>
      <c r="E420" s="252" t="s">
        <v>825</v>
      </c>
      <c r="F420" s="252" t="s">
        <v>94</v>
      </c>
      <c r="G420" s="257"/>
      <c r="H420" s="257">
        <v>100</v>
      </c>
      <c r="I420" s="257">
        <v>0</v>
      </c>
      <c r="J420" s="257">
        <f>H420+I420</f>
        <v>100</v>
      </c>
      <c r="K420" s="257">
        <v>0</v>
      </c>
      <c r="L420" s="257">
        <v>80</v>
      </c>
      <c r="M420" s="257">
        <v>80</v>
      </c>
      <c r="N420" s="257">
        <v>0</v>
      </c>
      <c r="O420" s="257">
        <f>M420+N420</f>
        <v>80</v>
      </c>
      <c r="P420" s="257">
        <v>80</v>
      </c>
      <c r="Q420" s="257">
        <v>0</v>
      </c>
      <c r="R420" s="257">
        <f t="shared" si="574"/>
        <v>80</v>
      </c>
      <c r="S420" s="257">
        <v>-30</v>
      </c>
      <c r="T420" s="257">
        <v>80</v>
      </c>
      <c r="U420" s="257">
        <v>0</v>
      </c>
      <c r="V420" s="257">
        <v>50</v>
      </c>
      <c r="W420" s="257">
        <v>0</v>
      </c>
      <c r="X420" s="257">
        <v>50</v>
      </c>
      <c r="Y420" s="257">
        <v>0</v>
      </c>
      <c r="Z420" s="257">
        <f t="shared" si="653"/>
        <v>50</v>
      </c>
    </row>
    <row r="421" spans="1:26" ht="37.5" customHeight="1" x14ac:dyDescent="0.2">
      <c r="A421" s="259" t="s">
        <v>1040</v>
      </c>
      <c r="B421" s="252" t="s">
        <v>343</v>
      </c>
      <c r="C421" s="252" t="s">
        <v>196</v>
      </c>
      <c r="D421" s="252" t="s">
        <v>205</v>
      </c>
      <c r="E421" s="252" t="s">
        <v>1285</v>
      </c>
      <c r="F421" s="252"/>
      <c r="G421" s="257"/>
      <c r="H421" s="257">
        <f>H422</f>
        <v>0.1</v>
      </c>
      <c r="I421" s="257">
        <f>I422</f>
        <v>0</v>
      </c>
      <c r="J421" s="257">
        <f t="shared" ref="J421:J422" si="654">H421+I421</f>
        <v>0.1</v>
      </c>
      <c r="K421" s="257">
        <f>K422</f>
        <v>0</v>
      </c>
      <c r="L421" s="257">
        <f>L422</f>
        <v>0.1</v>
      </c>
      <c r="M421" s="257">
        <f>M422</f>
        <v>0.1</v>
      </c>
      <c r="N421" s="257">
        <f t="shared" ref="N421:Q421" si="655">N422</f>
        <v>0</v>
      </c>
      <c r="O421" s="257">
        <f t="shared" si="655"/>
        <v>0.1</v>
      </c>
      <c r="P421" s="257">
        <f t="shared" si="655"/>
        <v>0</v>
      </c>
      <c r="Q421" s="257">
        <f t="shared" si="655"/>
        <v>42.5</v>
      </c>
      <c r="R421" s="257">
        <f t="shared" ref="R421:W421" si="656">R422+R423</f>
        <v>0</v>
      </c>
      <c r="S421" s="257">
        <f t="shared" si="656"/>
        <v>46.9</v>
      </c>
      <c r="T421" s="257">
        <f t="shared" si="656"/>
        <v>46.9</v>
      </c>
      <c r="U421" s="257">
        <f t="shared" si="656"/>
        <v>-2.8</v>
      </c>
      <c r="V421" s="257">
        <f t="shared" si="656"/>
        <v>44.099999999999994</v>
      </c>
      <c r="W421" s="257">
        <f t="shared" si="656"/>
        <v>5.0999999999999996</v>
      </c>
      <c r="X421" s="257">
        <f>X422+X423+X424+X425+X426</f>
        <v>57</v>
      </c>
      <c r="Y421" s="257">
        <f t="shared" ref="Y421" si="657">Y422+Y423+Y424+Y425+Y426</f>
        <v>10.400000000000004</v>
      </c>
      <c r="Z421" s="257">
        <f>Z422+Z423+Z424+Z425+Z426</f>
        <v>67.400000000000006</v>
      </c>
    </row>
    <row r="422" spans="1:26" ht="18" customHeight="1" x14ac:dyDescent="0.2">
      <c r="A422" s="259" t="s">
        <v>907</v>
      </c>
      <c r="B422" s="252" t="s">
        <v>343</v>
      </c>
      <c r="C422" s="252" t="s">
        <v>196</v>
      </c>
      <c r="D422" s="252" t="s">
        <v>205</v>
      </c>
      <c r="E422" s="252" t="s">
        <v>834</v>
      </c>
      <c r="F422" s="252" t="s">
        <v>96</v>
      </c>
      <c r="G422" s="257"/>
      <c r="H422" s="257">
        <v>0.1</v>
      </c>
      <c r="I422" s="257">
        <v>0</v>
      </c>
      <c r="J422" s="257">
        <f t="shared" si="654"/>
        <v>0.1</v>
      </c>
      <c r="K422" s="257">
        <v>0</v>
      </c>
      <c r="L422" s="257">
        <v>0.1</v>
      </c>
      <c r="M422" s="257">
        <v>0.1</v>
      </c>
      <c r="N422" s="257">
        <v>0</v>
      </c>
      <c r="O422" s="257">
        <f>M422+N422</f>
        <v>0.1</v>
      </c>
      <c r="P422" s="257">
        <v>0</v>
      </c>
      <c r="Q422" s="257">
        <v>42.5</v>
      </c>
      <c r="R422" s="257">
        <v>0</v>
      </c>
      <c r="S422" s="257">
        <v>36</v>
      </c>
      <c r="T422" s="257">
        <f t="shared" ref="T422" si="658">R422+S422</f>
        <v>36</v>
      </c>
      <c r="U422" s="257">
        <v>-2.13</v>
      </c>
      <c r="V422" s="257">
        <v>33.869999999999997</v>
      </c>
      <c r="W422" s="257">
        <v>3.93</v>
      </c>
      <c r="X422" s="257">
        <v>43.78</v>
      </c>
      <c r="Y422" s="257">
        <v>-43.78</v>
      </c>
      <c r="Z422" s="257">
        <f t="shared" ref="Z422:Z423" si="659">X422+Y422</f>
        <v>0</v>
      </c>
    </row>
    <row r="423" spans="1:26" ht="34.5" customHeight="1" x14ac:dyDescent="0.2">
      <c r="A423" s="375" t="s">
        <v>898</v>
      </c>
      <c r="B423" s="252" t="s">
        <v>343</v>
      </c>
      <c r="C423" s="252" t="s">
        <v>196</v>
      </c>
      <c r="D423" s="252" t="s">
        <v>205</v>
      </c>
      <c r="E423" s="252" t="s">
        <v>834</v>
      </c>
      <c r="F423" s="252" t="s">
        <v>896</v>
      </c>
      <c r="G423" s="257"/>
      <c r="H423" s="257">
        <v>0.1</v>
      </c>
      <c r="I423" s="257">
        <v>0</v>
      </c>
      <c r="J423" s="257">
        <f t="shared" ref="J423:J424" si="660">H423+I423</f>
        <v>0.1</v>
      </c>
      <c r="K423" s="257">
        <v>0</v>
      </c>
      <c r="L423" s="257">
        <v>0.1</v>
      </c>
      <c r="M423" s="257">
        <v>0.1</v>
      </c>
      <c r="N423" s="257">
        <v>0</v>
      </c>
      <c r="O423" s="257">
        <f>M423+N423</f>
        <v>0.1</v>
      </c>
      <c r="P423" s="257">
        <v>0</v>
      </c>
      <c r="Q423" s="257">
        <v>42.5</v>
      </c>
      <c r="R423" s="257">
        <v>0</v>
      </c>
      <c r="S423" s="257">
        <v>10.9</v>
      </c>
      <c r="T423" s="257">
        <f t="shared" ref="T423:T424" si="661">R423+S423</f>
        <v>10.9</v>
      </c>
      <c r="U423" s="257">
        <v>-0.67</v>
      </c>
      <c r="V423" s="257">
        <v>10.23</v>
      </c>
      <c r="W423" s="257">
        <v>1.17</v>
      </c>
      <c r="X423" s="257">
        <v>13.22</v>
      </c>
      <c r="Y423" s="257">
        <v>-13.22</v>
      </c>
      <c r="Z423" s="257">
        <f t="shared" si="659"/>
        <v>0</v>
      </c>
    </row>
    <row r="424" spans="1:26" s="430" customFormat="1" ht="19.5" customHeight="1" x14ac:dyDescent="0.2">
      <c r="A424" s="259" t="s">
        <v>907</v>
      </c>
      <c r="B424" s="252" t="s">
        <v>343</v>
      </c>
      <c r="C424" s="252" t="s">
        <v>196</v>
      </c>
      <c r="D424" s="252" t="s">
        <v>205</v>
      </c>
      <c r="E424" s="252" t="s">
        <v>1285</v>
      </c>
      <c r="F424" s="252" t="s">
        <v>96</v>
      </c>
      <c r="G424" s="257"/>
      <c r="H424" s="257">
        <v>0.1</v>
      </c>
      <c r="I424" s="257">
        <v>0</v>
      </c>
      <c r="J424" s="257">
        <f t="shared" si="660"/>
        <v>0.1</v>
      </c>
      <c r="K424" s="257">
        <v>0</v>
      </c>
      <c r="L424" s="257">
        <v>0.1</v>
      </c>
      <c r="M424" s="257">
        <v>0.1</v>
      </c>
      <c r="N424" s="257">
        <v>0</v>
      </c>
      <c r="O424" s="257">
        <f>M424+N424</f>
        <v>0.1</v>
      </c>
      <c r="P424" s="257">
        <v>0</v>
      </c>
      <c r="Q424" s="257">
        <v>42.5</v>
      </c>
      <c r="R424" s="257">
        <v>0</v>
      </c>
      <c r="S424" s="257">
        <v>36</v>
      </c>
      <c r="T424" s="257">
        <f t="shared" si="661"/>
        <v>36</v>
      </c>
      <c r="U424" s="257">
        <v>-2.13</v>
      </c>
      <c r="V424" s="257">
        <v>33.869999999999997</v>
      </c>
      <c r="W424" s="257">
        <v>3.93</v>
      </c>
      <c r="X424" s="257">
        <v>0</v>
      </c>
      <c r="Y424" s="257">
        <v>51.77</v>
      </c>
      <c r="Z424" s="257">
        <f t="shared" ref="Z424:Z425" si="662">X424+Y424</f>
        <v>51.77</v>
      </c>
    </row>
    <row r="425" spans="1:26" s="430" customFormat="1" ht="30" customHeight="1" x14ac:dyDescent="0.2">
      <c r="A425" s="375" t="s">
        <v>898</v>
      </c>
      <c r="B425" s="252" t="s">
        <v>343</v>
      </c>
      <c r="C425" s="252" t="s">
        <v>196</v>
      </c>
      <c r="D425" s="252" t="s">
        <v>205</v>
      </c>
      <c r="E425" s="252" t="s">
        <v>1285</v>
      </c>
      <c r="F425" s="252" t="s">
        <v>896</v>
      </c>
      <c r="G425" s="257"/>
      <c r="H425" s="257">
        <v>0.1</v>
      </c>
      <c r="I425" s="257">
        <v>0</v>
      </c>
      <c r="J425" s="257">
        <f t="shared" ref="J425" si="663">H425+I425</f>
        <v>0.1</v>
      </c>
      <c r="K425" s="257">
        <v>0</v>
      </c>
      <c r="L425" s="257">
        <v>0.1</v>
      </c>
      <c r="M425" s="257">
        <v>0.1</v>
      </c>
      <c r="N425" s="257">
        <v>0</v>
      </c>
      <c r="O425" s="257">
        <f>M425+N425</f>
        <v>0.1</v>
      </c>
      <c r="P425" s="257">
        <v>0</v>
      </c>
      <c r="Q425" s="257">
        <v>42.5</v>
      </c>
      <c r="R425" s="257">
        <v>0</v>
      </c>
      <c r="S425" s="257">
        <v>10.9</v>
      </c>
      <c r="T425" s="257">
        <f t="shared" ref="T425" si="664">R425+S425</f>
        <v>10.9</v>
      </c>
      <c r="U425" s="257">
        <v>-0.67</v>
      </c>
      <c r="V425" s="257">
        <v>10.23</v>
      </c>
      <c r="W425" s="257">
        <v>1.17</v>
      </c>
      <c r="X425" s="257">
        <v>0</v>
      </c>
      <c r="Y425" s="257">
        <v>15.63</v>
      </c>
      <c r="Z425" s="257">
        <f t="shared" si="662"/>
        <v>15.63</v>
      </c>
    </row>
    <row r="426" spans="1:26" s="430" customFormat="1" ht="22.5" hidden="1" customHeight="1" x14ac:dyDescent="0.2">
      <c r="A426" s="259" t="s">
        <v>93</v>
      </c>
      <c r="B426" s="252" t="s">
        <v>343</v>
      </c>
      <c r="C426" s="252" t="s">
        <v>196</v>
      </c>
      <c r="D426" s="252" t="s">
        <v>205</v>
      </c>
      <c r="E426" s="252" t="s">
        <v>1285</v>
      </c>
      <c r="F426" s="252" t="s">
        <v>94</v>
      </c>
      <c r="G426" s="257"/>
      <c r="H426" s="257">
        <v>0.1</v>
      </c>
      <c r="I426" s="257">
        <v>0</v>
      </c>
      <c r="J426" s="257">
        <f t="shared" ref="J426" si="665">H426+I426</f>
        <v>0.1</v>
      </c>
      <c r="K426" s="257">
        <v>0</v>
      </c>
      <c r="L426" s="257">
        <v>0.1</v>
      </c>
      <c r="M426" s="257">
        <v>0.1</v>
      </c>
      <c r="N426" s="257">
        <v>0</v>
      </c>
      <c r="O426" s="257">
        <f>M426+N426</f>
        <v>0.1</v>
      </c>
      <c r="P426" s="257">
        <v>0</v>
      </c>
      <c r="Q426" s="257">
        <v>42.5</v>
      </c>
      <c r="R426" s="257">
        <v>0</v>
      </c>
      <c r="S426" s="257">
        <v>10.9</v>
      </c>
      <c r="T426" s="257">
        <f t="shared" ref="T426" si="666">R426+S426</f>
        <v>10.9</v>
      </c>
      <c r="U426" s="257">
        <v>-0.67</v>
      </c>
      <c r="V426" s="257">
        <v>10.23</v>
      </c>
      <c r="W426" s="257">
        <v>1.17</v>
      </c>
      <c r="X426" s="257">
        <v>0</v>
      </c>
      <c r="Y426" s="257">
        <v>0</v>
      </c>
      <c r="Z426" s="257">
        <f t="shared" ref="Z426" si="667">X426+Y426</f>
        <v>0</v>
      </c>
    </row>
    <row r="427" spans="1:26" s="430" customFormat="1" ht="14.25" x14ac:dyDescent="0.2">
      <c r="A427" s="462" t="s">
        <v>70</v>
      </c>
      <c r="B427" s="250" t="s">
        <v>343</v>
      </c>
      <c r="C427" s="250"/>
      <c r="D427" s="250"/>
      <c r="E427" s="250"/>
      <c r="F427" s="250"/>
      <c r="G427" s="275" t="e">
        <f>G431+G444+#REF!+G445</f>
        <v>#REF!</v>
      </c>
      <c r="H427" s="275" t="e">
        <f>H431+H435+H439+H444+#REF!+H445+H428</f>
        <v>#REF!</v>
      </c>
      <c r="I427" s="275" t="e">
        <f>I431+I435+I439+I444+#REF!+I445+I428</f>
        <v>#REF!</v>
      </c>
      <c r="J427" s="275" t="e">
        <f>J431+J435+J439+J444+#REF!+J445+J428</f>
        <v>#REF!</v>
      </c>
      <c r="K427" s="275" t="e">
        <f>K431+K435+K439+K444+#REF!+K445+K428</f>
        <v>#REF!</v>
      </c>
      <c r="L427" s="275" t="e">
        <f>L431+L444+#REF!+L445</f>
        <v>#REF!</v>
      </c>
      <c r="M427" s="275" t="e">
        <f>M431+M444+#REF!+M445</f>
        <v>#REF!</v>
      </c>
      <c r="N427" s="275" t="e">
        <f>N431+N444+#REF!+N445</f>
        <v>#REF!</v>
      </c>
      <c r="O427" s="275" t="e">
        <f>O431+O444+#REF!+O445</f>
        <v>#REF!</v>
      </c>
      <c r="P427" s="275" t="e">
        <f>P431+P444+#REF!+P445</f>
        <v>#REF!</v>
      </c>
      <c r="Q427" s="275" t="e">
        <f>Q431+Q444+#REF!+Q445</f>
        <v>#REF!</v>
      </c>
      <c r="R427" s="275" t="e">
        <f>R431+R444+#REF!+R445+R428+R439</f>
        <v>#REF!</v>
      </c>
      <c r="S427" s="275" t="e">
        <f>S431+S444+#REF!+S445+S428+S439</f>
        <v>#REF!</v>
      </c>
      <c r="T427" s="275" t="e">
        <f>T428+T439+T445</f>
        <v>#REF!</v>
      </c>
      <c r="U427" s="275" t="e">
        <f t="shared" ref="U427" si="668">U428+U439+U445</f>
        <v>#REF!</v>
      </c>
      <c r="V427" s="275" t="e">
        <f>V428+V439+V445+V435</f>
        <v>#REF!</v>
      </c>
      <c r="W427" s="275" t="e">
        <f t="shared" ref="W427:X427" si="669">W428+W439+W445+W435</f>
        <v>#REF!</v>
      </c>
      <c r="X427" s="275">
        <f t="shared" si="669"/>
        <v>40787.5</v>
      </c>
      <c r="Y427" s="275">
        <f t="shared" ref="Y427:Z427" si="670">Y428+Y439+Y445+Y435</f>
        <v>9082.8599999999988</v>
      </c>
      <c r="Z427" s="275">
        <f t="shared" si="670"/>
        <v>49870.36</v>
      </c>
    </row>
    <row r="428" spans="1:26" s="430" customFormat="1" hidden="1" x14ac:dyDescent="0.2">
      <c r="A428" s="462" t="s">
        <v>201</v>
      </c>
      <c r="B428" s="252" t="s">
        <v>343</v>
      </c>
      <c r="C428" s="249" t="s">
        <v>312</v>
      </c>
      <c r="D428" s="250" t="s">
        <v>202</v>
      </c>
      <c r="E428" s="365"/>
      <c r="F428" s="250"/>
      <c r="G428" s="275"/>
      <c r="H428" s="275">
        <f>H429</f>
        <v>0</v>
      </c>
      <c r="I428" s="275">
        <f>I429</f>
        <v>83.87</v>
      </c>
      <c r="J428" s="275">
        <f>H428+I428</f>
        <v>83.87</v>
      </c>
      <c r="K428" s="275">
        <f>K429</f>
        <v>0</v>
      </c>
      <c r="L428" s="275">
        <f>I428+J428</f>
        <v>167.74</v>
      </c>
      <c r="M428" s="275">
        <f>J428+K428</f>
        <v>83.87</v>
      </c>
      <c r="N428" s="275">
        <f t="shared" ref="N428:O428" si="671">K428+L428</f>
        <v>167.74</v>
      </c>
      <c r="O428" s="275">
        <f t="shared" si="671"/>
        <v>251.61</v>
      </c>
      <c r="P428" s="275">
        <f>M428+N428</f>
        <v>251.61</v>
      </c>
      <c r="Q428" s="275">
        <f t="shared" ref="Q428" si="672">N428+O428</f>
        <v>419.35</v>
      </c>
      <c r="R428" s="275">
        <f t="shared" ref="R428:Z428" si="673">R429</f>
        <v>0</v>
      </c>
      <c r="S428" s="275">
        <f t="shared" si="673"/>
        <v>0</v>
      </c>
      <c r="T428" s="275">
        <f t="shared" si="673"/>
        <v>0</v>
      </c>
      <c r="U428" s="275">
        <f t="shared" si="673"/>
        <v>387.3</v>
      </c>
      <c r="V428" s="275">
        <f t="shared" si="673"/>
        <v>0</v>
      </c>
      <c r="W428" s="275">
        <f t="shared" si="673"/>
        <v>0</v>
      </c>
      <c r="X428" s="275">
        <f t="shared" si="673"/>
        <v>0</v>
      </c>
      <c r="Y428" s="275">
        <f t="shared" si="673"/>
        <v>0</v>
      </c>
      <c r="Z428" s="275">
        <f t="shared" si="673"/>
        <v>0</v>
      </c>
    </row>
    <row r="429" spans="1:26" s="430" customFormat="1" ht="22.5" hidden="1" customHeight="1" x14ac:dyDescent="0.2">
      <c r="A429" s="259" t="s">
        <v>1026</v>
      </c>
      <c r="B429" s="252" t="s">
        <v>343</v>
      </c>
      <c r="C429" s="271" t="s">
        <v>312</v>
      </c>
      <c r="D429" s="252" t="s">
        <v>202</v>
      </c>
      <c r="E429" s="260" t="s">
        <v>867</v>
      </c>
      <c r="F429" s="252"/>
      <c r="G429" s="275"/>
      <c r="H429" s="257">
        <f>H430</f>
        <v>0</v>
      </c>
      <c r="I429" s="257">
        <f>I430</f>
        <v>83.87</v>
      </c>
      <c r="J429" s="257">
        <f>J430</f>
        <v>83.87</v>
      </c>
      <c r="K429" s="257">
        <f>K430</f>
        <v>0</v>
      </c>
      <c r="L429" s="257">
        <f>L430</f>
        <v>0</v>
      </c>
      <c r="M429" s="257">
        <f>M430</f>
        <v>0</v>
      </c>
      <c r="N429" s="257">
        <f t="shared" ref="N429:Z429" si="674">N430</f>
        <v>1</v>
      </c>
      <c r="O429" s="257">
        <f t="shared" si="674"/>
        <v>2</v>
      </c>
      <c r="P429" s="257">
        <f t="shared" si="674"/>
        <v>3</v>
      </c>
      <c r="Q429" s="257">
        <f t="shared" si="674"/>
        <v>4</v>
      </c>
      <c r="R429" s="257">
        <f t="shared" si="674"/>
        <v>0</v>
      </c>
      <c r="S429" s="257">
        <f t="shared" si="674"/>
        <v>0</v>
      </c>
      <c r="T429" s="257">
        <f t="shared" si="674"/>
        <v>0</v>
      </c>
      <c r="U429" s="257">
        <f t="shared" si="674"/>
        <v>387.3</v>
      </c>
      <c r="V429" s="257">
        <f t="shared" si="674"/>
        <v>0</v>
      </c>
      <c r="W429" s="257">
        <f t="shared" si="674"/>
        <v>0</v>
      </c>
      <c r="X429" s="257">
        <f t="shared" si="674"/>
        <v>0</v>
      </c>
      <c r="Y429" s="257">
        <f t="shared" si="674"/>
        <v>0</v>
      </c>
      <c r="Z429" s="257">
        <f t="shared" si="674"/>
        <v>0</v>
      </c>
    </row>
    <row r="430" spans="1:26" s="430" customFormat="1" hidden="1" x14ac:dyDescent="0.2">
      <c r="A430" s="367" t="s">
        <v>768</v>
      </c>
      <c r="B430" s="252" t="s">
        <v>343</v>
      </c>
      <c r="C430" s="271" t="s">
        <v>312</v>
      </c>
      <c r="D430" s="252" t="s">
        <v>202</v>
      </c>
      <c r="E430" s="260" t="s">
        <v>867</v>
      </c>
      <c r="F430" s="252" t="s">
        <v>769</v>
      </c>
      <c r="G430" s="275"/>
      <c r="H430" s="257">
        <v>0</v>
      </c>
      <c r="I430" s="257">
        <v>83.87</v>
      </c>
      <c r="J430" s="257">
        <f>H430+I430</f>
        <v>83.87</v>
      </c>
      <c r="K430" s="257">
        <v>0</v>
      </c>
      <c r="L430" s="257">
        <v>0</v>
      </c>
      <c r="M430" s="257">
        <v>0</v>
      </c>
      <c r="N430" s="257">
        <v>1</v>
      </c>
      <c r="O430" s="257">
        <v>2</v>
      </c>
      <c r="P430" s="257">
        <v>3</v>
      </c>
      <c r="Q430" s="257">
        <v>4</v>
      </c>
      <c r="R430" s="257">
        <v>0</v>
      </c>
      <c r="S430" s="257">
        <v>0</v>
      </c>
      <c r="T430" s="257">
        <f>R430+S430</f>
        <v>0</v>
      </c>
      <c r="U430" s="257">
        <v>387.3</v>
      </c>
      <c r="V430" s="257">
        <v>0</v>
      </c>
      <c r="W430" s="257">
        <v>0</v>
      </c>
      <c r="X430" s="257">
        <f>V430+W430</f>
        <v>0</v>
      </c>
      <c r="Y430" s="257">
        <v>0</v>
      </c>
      <c r="Z430" s="257">
        <f>X430+Y430</f>
        <v>0</v>
      </c>
    </row>
    <row r="431" spans="1:26" s="430" customFormat="1" ht="14.25" hidden="1" x14ac:dyDescent="0.2">
      <c r="A431" s="462" t="s">
        <v>364</v>
      </c>
      <c r="B431" s="250" t="s">
        <v>343</v>
      </c>
      <c r="C431" s="250" t="s">
        <v>192</v>
      </c>
      <c r="D431" s="250"/>
      <c r="E431" s="250"/>
      <c r="F431" s="250"/>
      <c r="G431" s="275"/>
      <c r="H431" s="275">
        <f t="shared" ref="H431:Y433" si="675">H432</f>
        <v>731.5</v>
      </c>
      <c r="I431" s="275">
        <f t="shared" si="675"/>
        <v>0</v>
      </c>
      <c r="J431" s="275">
        <f t="shared" si="675"/>
        <v>731.5</v>
      </c>
      <c r="K431" s="275">
        <f t="shared" si="675"/>
        <v>0</v>
      </c>
      <c r="L431" s="275">
        <f t="shared" si="675"/>
        <v>659</v>
      </c>
      <c r="M431" s="275">
        <f t="shared" si="675"/>
        <v>659</v>
      </c>
      <c r="N431" s="275">
        <f t="shared" si="675"/>
        <v>52.8</v>
      </c>
      <c r="O431" s="275">
        <f t="shared" si="675"/>
        <v>711.8</v>
      </c>
      <c r="P431" s="275">
        <f t="shared" si="675"/>
        <v>737.7</v>
      </c>
      <c r="Q431" s="275">
        <f t="shared" si="675"/>
        <v>571.5</v>
      </c>
      <c r="R431" s="275">
        <f t="shared" si="675"/>
        <v>1309.2</v>
      </c>
      <c r="S431" s="275">
        <f t="shared" si="675"/>
        <v>-1309.2</v>
      </c>
      <c r="T431" s="275">
        <f t="shared" si="675"/>
        <v>0</v>
      </c>
      <c r="U431" s="275">
        <f t="shared" si="675"/>
        <v>0</v>
      </c>
      <c r="V431" s="275">
        <f t="shared" si="675"/>
        <v>0</v>
      </c>
      <c r="W431" s="275">
        <f t="shared" si="675"/>
        <v>0</v>
      </c>
      <c r="X431" s="275">
        <f t="shared" ref="W431:Z433" si="676">X432</f>
        <v>0</v>
      </c>
      <c r="Y431" s="275">
        <f t="shared" si="675"/>
        <v>0</v>
      </c>
      <c r="Z431" s="275">
        <f t="shared" si="676"/>
        <v>0</v>
      </c>
    </row>
    <row r="432" spans="1:26" s="430" customFormat="1" ht="18" hidden="1" customHeight="1" x14ac:dyDescent="0.2">
      <c r="A432" s="462" t="s">
        <v>365</v>
      </c>
      <c r="B432" s="250" t="s">
        <v>343</v>
      </c>
      <c r="C432" s="250" t="s">
        <v>192</v>
      </c>
      <c r="D432" s="250" t="s">
        <v>194</v>
      </c>
      <c r="E432" s="252"/>
      <c r="F432" s="252"/>
      <c r="G432" s="257" t="e">
        <f>#REF!+G433</f>
        <v>#REF!</v>
      </c>
      <c r="H432" s="257">
        <f>H433</f>
        <v>731.5</v>
      </c>
      <c r="I432" s="257">
        <f>I433</f>
        <v>0</v>
      </c>
      <c r="J432" s="257">
        <f>H432+I432</f>
        <v>731.5</v>
      </c>
      <c r="K432" s="257">
        <f t="shared" si="675"/>
        <v>0</v>
      </c>
      <c r="L432" s="257">
        <f t="shared" si="675"/>
        <v>659</v>
      </c>
      <c r="M432" s="257">
        <f t="shared" si="675"/>
        <v>659</v>
      </c>
      <c r="N432" s="257">
        <f t="shared" si="675"/>
        <v>52.8</v>
      </c>
      <c r="O432" s="257">
        <f t="shared" si="675"/>
        <v>711.8</v>
      </c>
      <c r="P432" s="257">
        <f t="shared" si="675"/>
        <v>737.7</v>
      </c>
      <c r="Q432" s="257">
        <f t="shared" si="675"/>
        <v>571.5</v>
      </c>
      <c r="R432" s="257">
        <f t="shared" si="675"/>
        <v>1309.2</v>
      </c>
      <c r="S432" s="257">
        <f t="shared" si="675"/>
        <v>-1309.2</v>
      </c>
      <c r="T432" s="257">
        <f t="shared" si="675"/>
        <v>0</v>
      </c>
      <c r="U432" s="257">
        <f t="shared" si="675"/>
        <v>0</v>
      </c>
      <c r="V432" s="257">
        <f t="shared" si="675"/>
        <v>0</v>
      </c>
      <c r="W432" s="257">
        <f t="shared" si="676"/>
        <v>0</v>
      </c>
      <c r="X432" s="257">
        <f t="shared" si="676"/>
        <v>0</v>
      </c>
      <c r="Y432" s="257">
        <f t="shared" si="676"/>
        <v>0</v>
      </c>
      <c r="Z432" s="257">
        <f t="shared" si="676"/>
        <v>0</v>
      </c>
    </row>
    <row r="433" spans="1:26" hidden="1" x14ac:dyDescent="0.2">
      <c r="A433" s="259" t="s">
        <v>366</v>
      </c>
      <c r="B433" s="252" t="s">
        <v>343</v>
      </c>
      <c r="C433" s="252" t="s">
        <v>192</v>
      </c>
      <c r="D433" s="252" t="s">
        <v>194</v>
      </c>
      <c r="E433" s="252" t="s">
        <v>757</v>
      </c>
      <c r="F433" s="252"/>
      <c r="G433" s="257"/>
      <c r="H433" s="257">
        <f>H434</f>
        <v>731.5</v>
      </c>
      <c r="I433" s="257">
        <f>I434</f>
        <v>0</v>
      </c>
      <c r="J433" s="257">
        <f>H433+I433</f>
        <v>731.5</v>
      </c>
      <c r="K433" s="257">
        <f t="shared" si="675"/>
        <v>0</v>
      </c>
      <c r="L433" s="257">
        <f t="shared" si="675"/>
        <v>659</v>
      </c>
      <c r="M433" s="257">
        <f t="shared" si="675"/>
        <v>659</v>
      </c>
      <c r="N433" s="257">
        <f t="shared" si="675"/>
        <v>52.8</v>
      </c>
      <c r="O433" s="257">
        <f t="shared" si="675"/>
        <v>711.8</v>
      </c>
      <c r="P433" s="257">
        <f t="shared" si="675"/>
        <v>737.7</v>
      </c>
      <c r="Q433" s="257">
        <f t="shared" si="675"/>
        <v>571.5</v>
      </c>
      <c r="R433" s="257">
        <f t="shared" si="675"/>
        <v>1309.2</v>
      </c>
      <c r="S433" s="257">
        <f t="shared" si="675"/>
        <v>-1309.2</v>
      </c>
      <c r="T433" s="257">
        <f t="shared" si="675"/>
        <v>0</v>
      </c>
      <c r="U433" s="257">
        <f t="shared" si="675"/>
        <v>0</v>
      </c>
      <c r="V433" s="257">
        <f t="shared" si="675"/>
        <v>0</v>
      </c>
      <c r="W433" s="257">
        <f t="shared" si="676"/>
        <v>0</v>
      </c>
      <c r="X433" s="257">
        <f t="shared" si="676"/>
        <v>0</v>
      </c>
      <c r="Y433" s="257">
        <f t="shared" si="676"/>
        <v>0</v>
      </c>
      <c r="Z433" s="257">
        <f t="shared" si="676"/>
        <v>0</v>
      </c>
    </row>
    <row r="434" spans="1:26" hidden="1" x14ac:dyDescent="0.2">
      <c r="A434" s="259" t="s">
        <v>268</v>
      </c>
      <c r="B434" s="252" t="s">
        <v>343</v>
      </c>
      <c r="C434" s="252" t="s">
        <v>192</v>
      </c>
      <c r="D434" s="252" t="s">
        <v>194</v>
      </c>
      <c r="E434" s="252" t="s">
        <v>757</v>
      </c>
      <c r="F434" s="252" t="s">
        <v>155</v>
      </c>
      <c r="G434" s="257"/>
      <c r="H434" s="257">
        <v>731.5</v>
      </c>
      <c r="I434" s="257">
        <v>0</v>
      </c>
      <c r="J434" s="257">
        <f>H434+I434</f>
        <v>731.5</v>
      </c>
      <c r="K434" s="257">
        <v>0</v>
      </c>
      <c r="L434" s="257">
        <v>659</v>
      </c>
      <c r="M434" s="257">
        <v>659</v>
      </c>
      <c r="N434" s="257">
        <v>52.8</v>
      </c>
      <c r="O434" s="257">
        <f>M434+N434</f>
        <v>711.8</v>
      </c>
      <c r="P434" s="257">
        <v>737.7</v>
      </c>
      <c r="Q434" s="257">
        <v>571.5</v>
      </c>
      <c r="R434" s="257">
        <f t="shared" si="574"/>
        <v>1309.2</v>
      </c>
      <c r="S434" s="257">
        <v>-1309.2</v>
      </c>
      <c r="T434" s="257">
        <f t="shared" ref="T434:T438" si="677">R434+S434</f>
        <v>0</v>
      </c>
      <c r="U434" s="257">
        <v>0</v>
      </c>
      <c r="V434" s="257">
        <f t="shared" ref="V434" si="678">T434+U434</f>
        <v>0</v>
      </c>
      <c r="W434" s="257">
        <v>0</v>
      </c>
      <c r="X434" s="257">
        <f t="shared" ref="X434:X438" si="679">V434+W434</f>
        <v>0</v>
      </c>
      <c r="Y434" s="257">
        <v>0</v>
      </c>
      <c r="Z434" s="257">
        <f t="shared" ref="Z434" si="680">X434+Y434</f>
        <v>0</v>
      </c>
    </row>
    <row r="435" spans="1:26" hidden="1" x14ac:dyDescent="0.2">
      <c r="A435" s="462" t="s">
        <v>236</v>
      </c>
      <c r="B435" s="250" t="s">
        <v>343</v>
      </c>
      <c r="C435" s="250" t="s">
        <v>194</v>
      </c>
      <c r="D435" s="250"/>
      <c r="E435" s="252"/>
      <c r="F435" s="252"/>
      <c r="G435" s="257"/>
      <c r="H435" s="275">
        <f t="shared" ref="H435:Q437" si="681">H436</f>
        <v>0</v>
      </c>
      <c r="I435" s="275">
        <f t="shared" si="681"/>
        <v>175</v>
      </c>
      <c r="J435" s="275">
        <f t="shared" si="681"/>
        <v>175</v>
      </c>
      <c r="K435" s="275">
        <f t="shared" si="681"/>
        <v>0</v>
      </c>
      <c r="L435" s="275">
        <f t="shared" si="681"/>
        <v>0</v>
      </c>
      <c r="M435" s="275">
        <f t="shared" si="681"/>
        <v>0</v>
      </c>
      <c r="N435" s="275">
        <f t="shared" si="681"/>
        <v>1</v>
      </c>
      <c r="O435" s="275">
        <f t="shared" si="681"/>
        <v>2</v>
      </c>
      <c r="P435" s="275">
        <f t="shared" si="681"/>
        <v>3</v>
      </c>
      <c r="Q435" s="275">
        <f t="shared" si="681"/>
        <v>4</v>
      </c>
      <c r="R435" s="257">
        <f t="shared" si="574"/>
        <v>7</v>
      </c>
      <c r="S435" s="257">
        <f t="shared" ref="S435:S438" si="682">Q435+R435</f>
        <v>11</v>
      </c>
      <c r="T435" s="257">
        <f t="shared" si="677"/>
        <v>18</v>
      </c>
      <c r="U435" s="257">
        <f t="shared" ref="U435:U438" si="683">S435+T435</f>
        <v>29</v>
      </c>
      <c r="V435" s="257">
        <f>V436</f>
        <v>0</v>
      </c>
      <c r="W435" s="257">
        <f t="shared" ref="W435:Z436" si="684">W436</f>
        <v>0</v>
      </c>
      <c r="X435" s="257">
        <f t="shared" si="684"/>
        <v>0</v>
      </c>
      <c r="Y435" s="257">
        <f t="shared" si="684"/>
        <v>0</v>
      </c>
      <c r="Z435" s="257">
        <f t="shared" si="684"/>
        <v>0</v>
      </c>
    </row>
    <row r="436" spans="1:26" ht="32.25" hidden="1" customHeight="1" x14ac:dyDescent="0.2">
      <c r="A436" s="462" t="s">
        <v>255</v>
      </c>
      <c r="B436" s="252" t="s">
        <v>343</v>
      </c>
      <c r="C436" s="252" t="s">
        <v>194</v>
      </c>
      <c r="D436" s="252" t="s">
        <v>212</v>
      </c>
      <c r="E436" s="252"/>
      <c r="F436" s="252"/>
      <c r="G436" s="257"/>
      <c r="H436" s="257">
        <f t="shared" si="681"/>
        <v>0</v>
      </c>
      <c r="I436" s="257">
        <f t="shared" si="681"/>
        <v>175</v>
      </c>
      <c r="J436" s="257">
        <f t="shared" si="681"/>
        <v>175</v>
      </c>
      <c r="K436" s="257">
        <f t="shared" si="681"/>
        <v>0</v>
      </c>
      <c r="L436" s="257">
        <f t="shared" si="681"/>
        <v>0</v>
      </c>
      <c r="M436" s="257">
        <f t="shared" si="681"/>
        <v>0</v>
      </c>
      <c r="N436" s="257">
        <f t="shared" si="681"/>
        <v>1</v>
      </c>
      <c r="O436" s="257">
        <f t="shared" si="681"/>
        <v>2</v>
      </c>
      <c r="P436" s="257">
        <f t="shared" si="681"/>
        <v>3</v>
      </c>
      <c r="Q436" s="257">
        <f t="shared" si="681"/>
        <v>4</v>
      </c>
      <c r="R436" s="257">
        <f t="shared" si="574"/>
        <v>7</v>
      </c>
      <c r="S436" s="257">
        <f t="shared" si="682"/>
        <v>11</v>
      </c>
      <c r="T436" s="257">
        <f t="shared" si="677"/>
        <v>18</v>
      </c>
      <c r="U436" s="257">
        <f t="shared" si="683"/>
        <v>29</v>
      </c>
      <c r="V436" s="257">
        <f>V437</f>
        <v>0</v>
      </c>
      <c r="W436" s="257">
        <f t="shared" si="684"/>
        <v>0</v>
      </c>
      <c r="X436" s="257">
        <f t="shared" si="684"/>
        <v>0</v>
      </c>
      <c r="Y436" s="257">
        <f t="shared" si="684"/>
        <v>0</v>
      </c>
      <c r="Z436" s="257">
        <f t="shared" si="684"/>
        <v>0</v>
      </c>
    </row>
    <row r="437" spans="1:26" ht="27.75" hidden="1" customHeight="1" x14ac:dyDescent="0.2">
      <c r="A437" s="259" t="s">
        <v>466</v>
      </c>
      <c r="B437" s="252" t="s">
        <v>343</v>
      </c>
      <c r="C437" s="252" t="s">
        <v>194</v>
      </c>
      <c r="D437" s="252" t="s">
        <v>212</v>
      </c>
      <c r="E437" s="252" t="s">
        <v>874</v>
      </c>
      <c r="F437" s="252"/>
      <c r="G437" s="257"/>
      <c r="H437" s="257">
        <f t="shared" si="681"/>
        <v>0</v>
      </c>
      <c r="I437" s="257">
        <f t="shared" si="681"/>
        <v>175</v>
      </c>
      <c r="J437" s="257">
        <f t="shared" si="681"/>
        <v>175</v>
      </c>
      <c r="K437" s="257">
        <f t="shared" si="681"/>
        <v>0</v>
      </c>
      <c r="L437" s="257">
        <f t="shared" si="681"/>
        <v>0</v>
      </c>
      <c r="M437" s="257">
        <f t="shared" si="681"/>
        <v>0</v>
      </c>
      <c r="N437" s="257">
        <f t="shared" si="681"/>
        <v>1</v>
      </c>
      <c r="O437" s="257">
        <f t="shared" si="681"/>
        <v>2</v>
      </c>
      <c r="P437" s="257">
        <f t="shared" si="681"/>
        <v>3</v>
      </c>
      <c r="Q437" s="257">
        <f t="shared" si="681"/>
        <v>4</v>
      </c>
      <c r="R437" s="257">
        <f t="shared" ref="R437:R463" si="685">P437+Q437</f>
        <v>7</v>
      </c>
      <c r="S437" s="257">
        <f t="shared" si="682"/>
        <v>11</v>
      </c>
      <c r="T437" s="257">
        <f t="shared" si="677"/>
        <v>18</v>
      </c>
      <c r="U437" s="257">
        <f t="shared" si="683"/>
        <v>29</v>
      </c>
      <c r="V437" s="257">
        <f xml:space="preserve"> V438</f>
        <v>0</v>
      </c>
      <c r="W437" s="257">
        <f t="shared" ref="W437:Z437" si="686" xml:space="preserve"> W438</f>
        <v>0</v>
      </c>
      <c r="X437" s="257">
        <f t="shared" si="686"/>
        <v>0</v>
      </c>
      <c r="Y437" s="257">
        <f t="shared" si="686"/>
        <v>0</v>
      </c>
      <c r="Z437" s="257">
        <f t="shared" si="686"/>
        <v>0</v>
      </c>
    </row>
    <row r="438" spans="1:26" hidden="1" x14ac:dyDescent="0.2">
      <c r="A438" s="367" t="s">
        <v>768</v>
      </c>
      <c r="B438" s="252" t="s">
        <v>343</v>
      </c>
      <c r="C438" s="252" t="s">
        <v>194</v>
      </c>
      <c r="D438" s="252" t="s">
        <v>212</v>
      </c>
      <c r="E438" s="252" t="s">
        <v>874</v>
      </c>
      <c r="F438" s="252" t="s">
        <v>769</v>
      </c>
      <c r="G438" s="257"/>
      <c r="H438" s="257"/>
      <c r="I438" s="257">
        <v>175</v>
      </c>
      <c r="J438" s="257">
        <f>H438+I438</f>
        <v>175</v>
      </c>
      <c r="K438" s="257">
        <v>0</v>
      </c>
      <c r="L438" s="257">
        <v>0</v>
      </c>
      <c r="M438" s="257">
        <v>0</v>
      </c>
      <c r="N438" s="257">
        <v>1</v>
      </c>
      <c r="O438" s="257">
        <v>2</v>
      </c>
      <c r="P438" s="257">
        <v>3</v>
      </c>
      <c r="Q438" s="257">
        <v>4</v>
      </c>
      <c r="R438" s="257">
        <f t="shared" si="685"/>
        <v>7</v>
      </c>
      <c r="S438" s="257">
        <f t="shared" si="682"/>
        <v>11</v>
      </c>
      <c r="T438" s="257">
        <f t="shared" si="677"/>
        <v>18</v>
      </c>
      <c r="U438" s="257">
        <f t="shared" si="683"/>
        <v>29</v>
      </c>
      <c r="V438" s="257">
        <v>0</v>
      </c>
      <c r="W438" s="257">
        <v>0</v>
      </c>
      <c r="X438" s="257">
        <f t="shared" si="679"/>
        <v>0</v>
      </c>
      <c r="Y438" s="257">
        <v>0</v>
      </c>
      <c r="Z438" s="257">
        <f t="shared" ref="Z438" si="687">X438+Y438</f>
        <v>0</v>
      </c>
    </row>
    <row r="439" spans="1:26" x14ac:dyDescent="0.2">
      <c r="A439" s="462" t="s">
        <v>374</v>
      </c>
      <c r="B439" s="250" t="s">
        <v>343</v>
      </c>
      <c r="C439" s="250" t="s">
        <v>196</v>
      </c>
      <c r="D439" s="250"/>
      <c r="E439" s="250"/>
      <c r="F439" s="250"/>
      <c r="G439" s="275"/>
      <c r="H439" s="275">
        <f t="shared" ref="H439:Q440" si="688">H440</f>
        <v>0</v>
      </c>
      <c r="I439" s="275">
        <f t="shared" si="688"/>
        <v>495.14000000000004</v>
      </c>
      <c r="J439" s="275">
        <f t="shared" si="688"/>
        <v>495.14000000000004</v>
      </c>
      <c r="K439" s="275">
        <f t="shared" si="688"/>
        <v>955.16700000000003</v>
      </c>
      <c r="L439" s="275">
        <f t="shared" si="688"/>
        <v>0</v>
      </c>
      <c r="M439" s="275">
        <f t="shared" si="688"/>
        <v>0</v>
      </c>
      <c r="N439" s="275">
        <f t="shared" si="688"/>
        <v>1</v>
      </c>
      <c r="O439" s="275">
        <f t="shared" si="688"/>
        <v>2</v>
      </c>
      <c r="P439" s="275">
        <f t="shared" si="688"/>
        <v>3</v>
      </c>
      <c r="Q439" s="275">
        <f t="shared" si="688"/>
        <v>4</v>
      </c>
      <c r="R439" s="257">
        <f>R440</f>
        <v>0</v>
      </c>
      <c r="S439" s="257">
        <f t="shared" ref="S439:Z440" si="689">S440</f>
        <v>3945.2</v>
      </c>
      <c r="T439" s="257">
        <f t="shared" si="689"/>
        <v>0</v>
      </c>
      <c r="U439" s="257">
        <f t="shared" si="689"/>
        <v>8631.7671869999976</v>
      </c>
      <c r="V439" s="257">
        <f t="shared" si="689"/>
        <v>0</v>
      </c>
      <c r="W439" s="257">
        <f t="shared" si="689"/>
        <v>5815.32</v>
      </c>
      <c r="X439" s="257">
        <f>X440+X442</f>
        <v>0</v>
      </c>
      <c r="Y439" s="257">
        <f t="shared" ref="Y439:Z439" si="690">Y440+Y442</f>
        <v>2665.66</v>
      </c>
      <c r="Z439" s="257">
        <f t="shared" si="690"/>
        <v>2665.66</v>
      </c>
    </row>
    <row r="440" spans="1:26" ht="13.5" hidden="1" customHeight="1" x14ac:dyDescent="0.2">
      <c r="A440" s="259" t="s">
        <v>722</v>
      </c>
      <c r="B440" s="252" t="s">
        <v>343</v>
      </c>
      <c r="C440" s="252" t="s">
        <v>196</v>
      </c>
      <c r="D440" s="252" t="s">
        <v>212</v>
      </c>
      <c r="E440" s="252" t="s">
        <v>849</v>
      </c>
      <c r="F440" s="252"/>
      <c r="G440" s="257"/>
      <c r="H440" s="257">
        <f>H441</f>
        <v>0</v>
      </c>
      <c r="I440" s="257">
        <f>I441</f>
        <v>495.14000000000004</v>
      </c>
      <c r="J440" s="257">
        <f>H440+I440</f>
        <v>495.14000000000004</v>
      </c>
      <c r="K440" s="257">
        <f>K441</f>
        <v>955.16700000000003</v>
      </c>
      <c r="L440" s="257">
        <f>L441</f>
        <v>0</v>
      </c>
      <c r="M440" s="257">
        <f>M441</f>
        <v>0</v>
      </c>
      <c r="N440" s="257">
        <f t="shared" si="688"/>
        <v>1</v>
      </c>
      <c r="O440" s="257">
        <f t="shared" si="688"/>
        <v>2</v>
      </c>
      <c r="P440" s="257">
        <f t="shared" si="688"/>
        <v>3</v>
      </c>
      <c r="Q440" s="257">
        <f t="shared" si="688"/>
        <v>4</v>
      </c>
      <c r="R440" s="257">
        <f>R441</f>
        <v>0</v>
      </c>
      <c r="S440" s="257">
        <f t="shared" si="689"/>
        <v>3945.2</v>
      </c>
      <c r="T440" s="257">
        <f t="shared" si="689"/>
        <v>0</v>
      </c>
      <c r="U440" s="257">
        <f t="shared" si="689"/>
        <v>8631.7671869999976</v>
      </c>
      <c r="V440" s="257">
        <f t="shared" si="689"/>
        <v>0</v>
      </c>
      <c r="W440" s="257">
        <f t="shared" si="689"/>
        <v>5815.32</v>
      </c>
      <c r="X440" s="257">
        <f t="shared" si="689"/>
        <v>0</v>
      </c>
      <c r="Y440" s="257">
        <f t="shared" si="689"/>
        <v>0</v>
      </c>
      <c r="Z440" s="257">
        <f t="shared" si="689"/>
        <v>0</v>
      </c>
    </row>
    <row r="441" spans="1:26" hidden="1" x14ac:dyDescent="0.2">
      <c r="A441" s="367" t="s">
        <v>768</v>
      </c>
      <c r="B441" s="252" t="s">
        <v>343</v>
      </c>
      <c r="C441" s="252" t="s">
        <v>196</v>
      </c>
      <c r="D441" s="252" t="s">
        <v>212</v>
      </c>
      <c r="E441" s="252" t="s">
        <v>849</v>
      </c>
      <c r="F441" s="252" t="s">
        <v>769</v>
      </c>
      <c r="G441" s="257"/>
      <c r="H441" s="257">
        <v>0</v>
      </c>
      <c r="I441" s="257">
        <f>374.91+120.23</f>
        <v>495.14000000000004</v>
      </c>
      <c r="J441" s="257">
        <f>H441+I441</f>
        <v>495.14000000000004</v>
      </c>
      <c r="K441" s="257">
        <v>955.16700000000003</v>
      </c>
      <c r="L441" s="257">
        <v>0</v>
      </c>
      <c r="M441" s="257">
        <v>0</v>
      </c>
      <c r="N441" s="257">
        <v>1</v>
      </c>
      <c r="O441" s="257">
        <v>2</v>
      </c>
      <c r="P441" s="257">
        <v>3</v>
      </c>
      <c r="Q441" s="257">
        <v>4</v>
      </c>
      <c r="R441" s="257">
        <v>0</v>
      </c>
      <c r="S441" s="257">
        <v>3945.2</v>
      </c>
      <c r="T441" s="257">
        <v>0</v>
      </c>
      <c r="U441" s="257">
        <v>8631.7671869999976</v>
      </c>
      <c r="V441" s="257">
        <v>0</v>
      </c>
      <c r="W441" s="257">
        <v>5815.32</v>
      </c>
      <c r="X441" s="257">
        <v>0</v>
      </c>
      <c r="Y441" s="257">
        <v>0</v>
      </c>
      <c r="Z441" s="257">
        <f t="shared" ref="Z441" si="691">X441+Y441</f>
        <v>0</v>
      </c>
    </row>
    <row r="442" spans="1:26" ht="30" x14ac:dyDescent="0.2">
      <c r="A442" s="259" t="s">
        <v>1259</v>
      </c>
      <c r="B442" s="250" t="s">
        <v>343</v>
      </c>
      <c r="C442" s="252" t="s">
        <v>196</v>
      </c>
      <c r="D442" s="252" t="s">
        <v>212</v>
      </c>
      <c r="E442" s="252" t="s">
        <v>1260</v>
      </c>
      <c r="F442" s="252"/>
      <c r="G442" s="257"/>
      <c r="H442" s="257"/>
      <c r="I442" s="257"/>
      <c r="J442" s="257"/>
      <c r="K442" s="257"/>
      <c r="L442" s="257"/>
      <c r="M442" s="257"/>
      <c r="N442" s="257"/>
      <c r="O442" s="257"/>
      <c r="P442" s="257"/>
      <c r="Q442" s="257"/>
      <c r="R442" s="257"/>
      <c r="S442" s="257"/>
      <c r="T442" s="257"/>
      <c r="U442" s="257"/>
      <c r="V442" s="257"/>
      <c r="W442" s="257"/>
      <c r="X442" s="257">
        <f>X443+X444</f>
        <v>0</v>
      </c>
      <c r="Y442" s="257">
        <f t="shared" ref="Y442:Z442" si="692">Y443+Y444</f>
        <v>2665.66</v>
      </c>
      <c r="Z442" s="257">
        <f t="shared" si="692"/>
        <v>2665.66</v>
      </c>
    </row>
    <row r="443" spans="1:26" x14ac:dyDescent="0.2">
      <c r="A443" s="367" t="s">
        <v>768</v>
      </c>
      <c r="B443" s="252" t="s">
        <v>343</v>
      </c>
      <c r="C443" s="252" t="s">
        <v>196</v>
      </c>
      <c r="D443" s="252" t="s">
        <v>212</v>
      </c>
      <c r="E443" s="252" t="s">
        <v>1260</v>
      </c>
      <c r="F443" s="252" t="s">
        <v>769</v>
      </c>
      <c r="G443" s="257"/>
      <c r="H443" s="257"/>
      <c r="I443" s="257"/>
      <c r="J443" s="257"/>
      <c r="K443" s="257"/>
      <c r="L443" s="257"/>
      <c r="M443" s="257"/>
      <c r="N443" s="257"/>
      <c r="O443" s="257"/>
      <c r="P443" s="257"/>
      <c r="Q443" s="257"/>
      <c r="R443" s="257"/>
      <c r="S443" s="257"/>
      <c r="T443" s="257"/>
      <c r="U443" s="257"/>
      <c r="V443" s="257"/>
      <c r="W443" s="257"/>
      <c r="X443" s="257">
        <v>0</v>
      </c>
      <c r="Y443" s="257">
        <v>2639</v>
      </c>
      <c r="Z443" s="257">
        <f>X443+Y443</f>
        <v>2639</v>
      </c>
    </row>
    <row r="444" spans="1:26" s="430" customFormat="1" x14ac:dyDescent="0.2">
      <c r="A444" s="367" t="s">
        <v>768</v>
      </c>
      <c r="B444" s="252" t="s">
        <v>343</v>
      </c>
      <c r="C444" s="252" t="s">
        <v>196</v>
      </c>
      <c r="D444" s="252" t="s">
        <v>212</v>
      </c>
      <c r="E444" s="252" t="s">
        <v>1260</v>
      </c>
      <c r="F444" s="252" t="s">
        <v>769</v>
      </c>
      <c r="G444" s="275" t="e">
        <f>#REF!+#REF!</f>
        <v>#REF!</v>
      </c>
      <c r="H444" s="275" t="e">
        <f>#REF!</f>
        <v>#REF!</v>
      </c>
      <c r="I444" s="275" t="e">
        <f>#REF!+#REF!</f>
        <v>#REF!</v>
      </c>
      <c r="J444" s="275" t="e">
        <f>#REF!+#REF!</f>
        <v>#REF!</v>
      </c>
      <c r="K444" s="275" t="e">
        <f>#REF!+#REF!</f>
        <v>#REF!</v>
      </c>
      <c r="L444" s="275" t="e">
        <f>#REF!+#REF!</f>
        <v>#REF!</v>
      </c>
      <c r="M444" s="275" t="e">
        <f>#REF!+#REF!</f>
        <v>#REF!</v>
      </c>
      <c r="N444" s="275" t="e">
        <f>#REF!+#REF!</f>
        <v>#REF!</v>
      </c>
      <c r="O444" s="275" t="e">
        <f>#REF!+#REF!</f>
        <v>#REF!</v>
      </c>
      <c r="P444" s="275" t="e">
        <f>#REF!+#REF!</f>
        <v>#REF!</v>
      </c>
      <c r="Q444" s="275" t="e">
        <f>#REF!+#REF!</f>
        <v>#REF!</v>
      </c>
      <c r="R444" s="275" t="e">
        <f>#REF!+#REF!</f>
        <v>#REF!</v>
      </c>
      <c r="S444" s="275" t="e">
        <f>#REF!+#REF!</f>
        <v>#REF!</v>
      </c>
      <c r="T444" s="275" t="e">
        <f>#REF!+#REF!</f>
        <v>#REF!</v>
      </c>
      <c r="U444" s="275" t="e">
        <f>#REF!+#REF!</f>
        <v>#REF!</v>
      </c>
      <c r="V444" s="275" t="e">
        <f>#REF!+#REF!</f>
        <v>#REF!</v>
      </c>
      <c r="W444" s="275" t="e">
        <f>#REF!+#REF!</f>
        <v>#REF!</v>
      </c>
      <c r="X444" s="275">
        <v>0</v>
      </c>
      <c r="Y444" s="257">
        <v>26.66</v>
      </c>
      <c r="Z444" s="257">
        <f>X444+Y444</f>
        <v>26.66</v>
      </c>
    </row>
    <row r="445" spans="1:26" s="430" customFormat="1" ht="30.75" customHeight="1" x14ac:dyDescent="0.2">
      <c r="A445" s="462" t="s">
        <v>168</v>
      </c>
      <c r="B445" s="250" t="s">
        <v>343</v>
      </c>
      <c r="C445" s="250" t="s">
        <v>208</v>
      </c>
      <c r="D445" s="250"/>
      <c r="E445" s="250"/>
      <c r="F445" s="250"/>
      <c r="G445" s="275" t="e">
        <f>#REF!+G450</f>
        <v>#REF!</v>
      </c>
      <c r="H445" s="275" t="e">
        <f>H446+#REF!+H450</f>
        <v>#REF!</v>
      </c>
      <c r="I445" s="275" t="e">
        <f>I446+#REF!+I450</f>
        <v>#REF!</v>
      </c>
      <c r="J445" s="275" t="e">
        <f>J446+#REF!+J450</f>
        <v>#REF!</v>
      </c>
      <c r="K445" s="275" t="e">
        <f>K446+#REF!+K450</f>
        <v>#REF!</v>
      </c>
      <c r="L445" s="275" t="e">
        <f>L446+#REF!+L450</f>
        <v>#REF!</v>
      </c>
      <c r="M445" s="275" t="e">
        <f>M446+#REF!+M450</f>
        <v>#REF!</v>
      </c>
      <c r="N445" s="275" t="e">
        <f>N446+#REF!+N450</f>
        <v>#REF!</v>
      </c>
      <c r="O445" s="275" t="e">
        <f>O446+#REF!+O450</f>
        <v>#REF!</v>
      </c>
      <c r="P445" s="275" t="e">
        <f>P446+#REF!+P450</f>
        <v>#REF!</v>
      </c>
      <c r="Q445" s="275" t="e">
        <f>Q446+#REF!+Q450</f>
        <v>#REF!</v>
      </c>
      <c r="R445" s="275" t="e">
        <f t="shared" ref="R445:Z445" si="693">R446+R450</f>
        <v>#REF!</v>
      </c>
      <c r="S445" s="275" t="e">
        <f t="shared" si="693"/>
        <v>#REF!</v>
      </c>
      <c r="T445" s="275" t="e">
        <f t="shared" si="693"/>
        <v>#REF!</v>
      </c>
      <c r="U445" s="275" t="e">
        <f t="shared" si="693"/>
        <v>#REF!</v>
      </c>
      <c r="V445" s="275" t="e">
        <f t="shared" si="693"/>
        <v>#REF!</v>
      </c>
      <c r="W445" s="275" t="e">
        <f t="shared" si="693"/>
        <v>#REF!</v>
      </c>
      <c r="X445" s="275">
        <f t="shared" si="693"/>
        <v>40787.5</v>
      </c>
      <c r="Y445" s="275">
        <f t="shared" si="693"/>
        <v>6417.1999999999989</v>
      </c>
      <c r="Z445" s="275">
        <f t="shared" si="693"/>
        <v>47204.7</v>
      </c>
    </row>
    <row r="446" spans="1:26" ht="28.5" customHeight="1" x14ac:dyDescent="0.2">
      <c r="A446" s="259" t="s">
        <v>980</v>
      </c>
      <c r="B446" s="250" t="s">
        <v>343</v>
      </c>
      <c r="C446" s="250" t="s">
        <v>208</v>
      </c>
      <c r="D446" s="250" t="s">
        <v>190</v>
      </c>
      <c r="E446" s="252" t="s">
        <v>765</v>
      </c>
      <c r="F446" s="252"/>
      <c r="G446" s="257"/>
      <c r="H446" s="257">
        <f>H447</f>
        <v>16130</v>
      </c>
      <c r="I446" s="257">
        <f>I447</f>
        <v>0</v>
      </c>
      <c r="J446" s="257">
        <f>H446+I446</f>
        <v>16130</v>
      </c>
      <c r="K446" s="257">
        <f>K447</f>
        <v>0</v>
      </c>
      <c r="L446" s="257">
        <f>L447</f>
        <v>17706</v>
      </c>
      <c r="M446" s="257" t="e">
        <f>M447+#REF!</f>
        <v>#REF!</v>
      </c>
      <c r="N446" s="257" t="e">
        <f>N447+#REF!</f>
        <v>#REF!</v>
      </c>
      <c r="O446" s="257" t="e">
        <f>O447+#REF!</f>
        <v>#REF!</v>
      </c>
      <c r="P446" s="257" t="e">
        <f>P447+#REF!</f>
        <v>#REF!</v>
      </c>
      <c r="Q446" s="257" t="e">
        <f>Q447+#REF!</f>
        <v>#REF!</v>
      </c>
      <c r="R446" s="257" t="e">
        <f>R447+#REF!</f>
        <v>#REF!</v>
      </c>
      <c r="S446" s="257" t="e">
        <f>S447+#REF!</f>
        <v>#REF!</v>
      </c>
      <c r="T446" s="257" t="e">
        <f>T447+#REF!</f>
        <v>#REF!</v>
      </c>
      <c r="U446" s="257" t="e">
        <f>U447+#REF!</f>
        <v>#REF!</v>
      </c>
      <c r="V446" s="257" t="e">
        <f>V447+#REF!</f>
        <v>#REF!</v>
      </c>
      <c r="W446" s="257" t="e">
        <f>W447+#REF!</f>
        <v>#REF!</v>
      </c>
      <c r="X446" s="257">
        <f>X447+X448+X449</f>
        <v>31605.5</v>
      </c>
      <c r="Y446" s="257">
        <f t="shared" ref="Y446:Z446" si="694">Y447+Y448+Y449</f>
        <v>3639.1999999999994</v>
      </c>
      <c r="Z446" s="257">
        <f t="shared" si="694"/>
        <v>35244.699999999997</v>
      </c>
    </row>
    <row r="447" spans="1:26" ht="31.5" customHeight="1" x14ac:dyDescent="0.2">
      <c r="A447" s="259" t="s">
        <v>710</v>
      </c>
      <c r="B447" s="252" t="s">
        <v>343</v>
      </c>
      <c r="C447" s="252" t="s">
        <v>208</v>
      </c>
      <c r="D447" s="252" t="s">
        <v>190</v>
      </c>
      <c r="E447" s="252" t="s">
        <v>765</v>
      </c>
      <c r="F447" s="252" t="s">
        <v>170</v>
      </c>
      <c r="G447" s="257"/>
      <c r="H447" s="257">
        <v>16130</v>
      </c>
      <c r="I447" s="257">
        <v>0</v>
      </c>
      <c r="J447" s="257">
        <f>H447+I447</f>
        <v>16130</v>
      </c>
      <c r="K447" s="257">
        <v>0</v>
      </c>
      <c r="L447" s="257">
        <v>17706</v>
      </c>
      <c r="M447" s="257">
        <v>17706</v>
      </c>
      <c r="N447" s="257">
        <v>0</v>
      </c>
      <c r="O447" s="257">
        <f>M447+N447</f>
        <v>17706</v>
      </c>
      <c r="P447" s="257">
        <v>17706</v>
      </c>
      <c r="Q447" s="257">
        <v>0</v>
      </c>
      <c r="R447" s="257">
        <f t="shared" si="685"/>
        <v>17706</v>
      </c>
      <c r="S447" s="257">
        <f>2757+13</f>
        <v>2770</v>
      </c>
      <c r="T447" s="257">
        <f t="shared" ref="T447" si="695">R447+S447</f>
        <v>20476</v>
      </c>
      <c r="U447" s="257">
        <v>4310.3999999999996</v>
      </c>
      <c r="V447" s="257">
        <v>24786.400000000001</v>
      </c>
      <c r="W447" s="257">
        <v>1878</v>
      </c>
      <c r="X447" s="257">
        <v>26664.400000000001</v>
      </c>
      <c r="Y447" s="257">
        <v>3752.6</v>
      </c>
      <c r="Z447" s="257">
        <f t="shared" ref="Z447" si="696">X447+Y447</f>
        <v>30417</v>
      </c>
    </row>
    <row r="448" spans="1:26" ht="42.75" customHeight="1" x14ac:dyDescent="0.2">
      <c r="A448" s="367" t="s">
        <v>763</v>
      </c>
      <c r="B448" s="252" t="s">
        <v>343</v>
      </c>
      <c r="C448" s="252" t="s">
        <v>208</v>
      </c>
      <c r="D448" s="252" t="s">
        <v>190</v>
      </c>
      <c r="E448" s="252" t="s">
        <v>946</v>
      </c>
      <c r="F448" s="252" t="s">
        <v>170</v>
      </c>
      <c r="G448" s="257"/>
      <c r="H448" s="257">
        <v>0</v>
      </c>
      <c r="I448" s="257">
        <v>1015</v>
      </c>
      <c r="J448" s="257">
        <f>H448+I448</f>
        <v>1015</v>
      </c>
      <c r="K448" s="257">
        <v>2400</v>
      </c>
      <c r="L448" s="257">
        <v>0</v>
      </c>
      <c r="M448" s="257">
        <v>0</v>
      </c>
      <c r="N448" s="257">
        <v>0</v>
      </c>
      <c r="O448" s="257">
        <f>M448+N448</f>
        <v>0</v>
      </c>
      <c r="P448" s="257">
        <v>0</v>
      </c>
      <c r="Q448" s="257">
        <v>0</v>
      </c>
      <c r="R448" s="257">
        <f t="shared" si="685"/>
        <v>0</v>
      </c>
      <c r="S448" s="257">
        <f t="shared" ref="S448" si="697">Q448+R448</f>
        <v>0</v>
      </c>
      <c r="T448" s="257">
        <f t="shared" ref="T448" si="698">R448+S448</f>
        <v>0</v>
      </c>
      <c r="U448" s="257">
        <f t="shared" ref="U448" si="699">S448+T448</f>
        <v>0</v>
      </c>
      <c r="V448" s="257">
        <f t="shared" ref="V448" si="700">T448+U448</f>
        <v>0</v>
      </c>
      <c r="W448" s="257">
        <f t="shared" ref="W448" si="701">U448+V448</f>
        <v>0</v>
      </c>
      <c r="X448" s="257">
        <v>4941.1000000000004</v>
      </c>
      <c r="Y448" s="257">
        <v>-4941.1000000000004</v>
      </c>
      <c r="Z448" s="257">
        <f t="shared" ref="Z448" si="702">X448+Y448</f>
        <v>0</v>
      </c>
    </row>
    <row r="449" spans="1:26" ht="42.75" customHeight="1" x14ac:dyDescent="0.2">
      <c r="A449" s="367" t="s">
        <v>763</v>
      </c>
      <c r="B449" s="252" t="s">
        <v>343</v>
      </c>
      <c r="C449" s="252" t="s">
        <v>208</v>
      </c>
      <c r="D449" s="252" t="s">
        <v>190</v>
      </c>
      <c r="E449" s="252" t="s">
        <v>1271</v>
      </c>
      <c r="F449" s="252" t="s">
        <v>170</v>
      </c>
      <c r="G449" s="257"/>
      <c r="H449" s="257">
        <v>0</v>
      </c>
      <c r="I449" s="257">
        <v>1015</v>
      </c>
      <c r="J449" s="257">
        <f>H449+I449</f>
        <v>1015</v>
      </c>
      <c r="K449" s="257">
        <v>2400</v>
      </c>
      <c r="L449" s="257">
        <v>0</v>
      </c>
      <c r="M449" s="257">
        <v>0</v>
      </c>
      <c r="N449" s="257">
        <v>0</v>
      </c>
      <c r="O449" s="257">
        <f>M449+N449</f>
        <v>0</v>
      </c>
      <c r="P449" s="257">
        <v>0</v>
      </c>
      <c r="Q449" s="257">
        <v>0</v>
      </c>
      <c r="R449" s="257">
        <f t="shared" ref="R449" si="703">P449+Q449</f>
        <v>0</v>
      </c>
      <c r="S449" s="257">
        <f t="shared" ref="S449" si="704">Q449+R449</f>
        <v>0</v>
      </c>
      <c r="T449" s="257">
        <f t="shared" ref="T449" si="705">R449+S449</f>
        <v>0</v>
      </c>
      <c r="U449" s="257">
        <f t="shared" ref="U449" si="706">S449+T449</f>
        <v>0</v>
      </c>
      <c r="V449" s="257">
        <f t="shared" ref="V449" si="707">T449+U449</f>
        <v>0</v>
      </c>
      <c r="W449" s="257">
        <f t="shared" ref="W449" si="708">U449+V449</f>
        <v>0</v>
      </c>
      <c r="X449" s="257">
        <v>0</v>
      </c>
      <c r="Y449" s="257">
        <v>4827.7</v>
      </c>
      <c r="Z449" s="257">
        <f t="shared" ref="Z449" si="709">X449+Y449</f>
        <v>4827.7</v>
      </c>
    </row>
    <row r="450" spans="1:26" ht="14.25" x14ac:dyDescent="0.2">
      <c r="A450" s="268" t="s">
        <v>288</v>
      </c>
      <c r="B450" s="250" t="s">
        <v>343</v>
      </c>
      <c r="C450" s="250" t="s">
        <v>208</v>
      </c>
      <c r="D450" s="250" t="s">
        <v>194</v>
      </c>
      <c r="E450" s="250"/>
      <c r="F450" s="250"/>
      <c r="G450" s="275">
        <f>G453+G451+G456+G459+G458</f>
        <v>0</v>
      </c>
      <c r="H450" s="275">
        <f>H456+H458+H459+H462</f>
        <v>4677.5</v>
      </c>
      <c r="I450" s="275">
        <f>I456+I458+I459+I462</f>
        <v>844.88000000000011</v>
      </c>
      <c r="J450" s="275">
        <f>J456+J458+J459+J462</f>
        <v>5522.3799999999992</v>
      </c>
      <c r="K450" s="275">
        <f>K456+K458+K459+K462+K464</f>
        <v>528.03</v>
      </c>
      <c r="L450" s="275">
        <f>L456+L458+L459+L462+L464</f>
        <v>4478.3999999999996</v>
      </c>
      <c r="M450" s="275">
        <f>M456+M458+M459+M462+M464</f>
        <v>4478.3999999999996</v>
      </c>
      <c r="N450" s="275">
        <f>N456+N458+N459+N462+N464</f>
        <v>-3638.2999999999997</v>
      </c>
      <c r="O450" s="275">
        <f t="shared" ref="O450:P450" si="710">O456+O458+O459+O462+O464</f>
        <v>840.1</v>
      </c>
      <c r="P450" s="275">
        <f t="shared" si="710"/>
        <v>2190.1</v>
      </c>
      <c r="Q450" s="275">
        <f>Q456+Q458+Q459+Q462+Q464</f>
        <v>1021.6</v>
      </c>
      <c r="R450" s="275">
        <f>R456+R459+R462+R464</f>
        <v>511.70000000000005</v>
      </c>
      <c r="S450" s="275">
        <f>S456+S459+S462+S464</f>
        <v>9190.2999999999993</v>
      </c>
      <c r="T450" s="275">
        <f t="shared" ref="T450:V450" si="711">T456+T459+T462+T464</f>
        <v>8352</v>
      </c>
      <c r="U450" s="275">
        <f>U456+U459+U462+U464</f>
        <v>1750</v>
      </c>
      <c r="V450" s="275">
        <f t="shared" si="711"/>
        <v>0</v>
      </c>
      <c r="W450" s="275">
        <f>W456+W459+W462+W464</f>
        <v>10851.3</v>
      </c>
      <c r="X450" s="275">
        <f>X456+X459+X462+X464</f>
        <v>9182</v>
      </c>
      <c r="Y450" s="275">
        <f>Y456+Y459+Y462+Y464</f>
        <v>2778</v>
      </c>
      <c r="Z450" s="275">
        <f t="shared" ref="Z450" si="712">Z456+Z459+Z462+Z464</f>
        <v>11960</v>
      </c>
    </row>
    <row r="451" spans="1:26" ht="69" hidden="1" customHeight="1" x14ac:dyDescent="0.2">
      <c r="A451" s="270" t="s">
        <v>396</v>
      </c>
      <c r="B451" s="252" t="s">
        <v>343</v>
      </c>
      <c r="C451" s="252" t="s">
        <v>208</v>
      </c>
      <c r="D451" s="252" t="s">
        <v>194</v>
      </c>
      <c r="E451" s="252" t="s">
        <v>398</v>
      </c>
      <c r="F451" s="252"/>
      <c r="G451" s="257"/>
      <c r="H451" s="257"/>
      <c r="I451" s="257">
        <f>I452</f>
        <v>-665.7</v>
      </c>
      <c r="J451" s="257" t="e">
        <f>J452</f>
        <v>#REF!</v>
      </c>
      <c r="K451" s="257">
        <f>K452</f>
        <v>-665.7</v>
      </c>
      <c r="L451" s="257" t="e">
        <f>L452</f>
        <v>#REF!</v>
      </c>
      <c r="M451" s="257" t="e">
        <f>M452</f>
        <v>#REF!</v>
      </c>
      <c r="N451" s="257" t="e">
        <f t="shared" ref="N451:Z451" si="713">N452</f>
        <v>#REF!</v>
      </c>
      <c r="O451" s="257" t="e">
        <f t="shared" si="713"/>
        <v>#REF!</v>
      </c>
      <c r="P451" s="257" t="e">
        <f t="shared" si="713"/>
        <v>#REF!</v>
      </c>
      <c r="Q451" s="257" t="e">
        <f t="shared" si="713"/>
        <v>#REF!</v>
      </c>
      <c r="R451" s="257" t="e">
        <f t="shared" si="713"/>
        <v>#REF!</v>
      </c>
      <c r="S451" s="257" t="e">
        <f t="shared" si="713"/>
        <v>#REF!</v>
      </c>
      <c r="T451" s="257" t="e">
        <f t="shared" si="713"/>
        <v>#REF!</v>
      </c>
      <c r="U451" s="257" t="e">
        <f t="shared" si="713"/>
        <v>#REF!</v>
      </c>
      <c r="V451" s="257" t="e">
        <f t="shared" si="713"/>
        <v>#REF!</v>
      </c>
      <c r="W451" s="257" t="e">
        <f t="shared" si="713"/>
        <v>#REF!</v>
      </c>
      <c r="X451" s="257" t="e">
        <f t="shared" si="713"/>
        <v>#REF!</v>
      </c>
      <c r="Y451" s="257" t="e">
        <f t="shared" si="713"/>
        <v>#REF!</v>
      </c>
      <c r="Z451" s="257" t="e">
        <f t="shared" si="713"/>
        <v>#REF!</v>
      </c>
    </row>
    <row r="452" spans="1:26" ht="17.25" hidden="1" customHeight="1" x14ac:dyDescent="0.2">
      <c r="A452" s="259" t="s">
        <v>268</v>
      </c>
      <c r="B452" s="252" t="s">
        <v>343</v>
      </c>
      <c r="C452" s="252" t="s">
        <v>208</v>
      </c>
      <c r="D452" s="252" t="s">
        <v>194</v>
      </c>
      <c r="E452" s="252" t="s">
        <v>398</v>
      </c>
      <c r="F452" s="252" t="s">
        <v>155</v>
      </c>
      <c r="G452" s="257"/>
      <c r="H452" s="257"/>
      <c r="I452" s="257">
        <v>-665.7</v>
      </c>
      <c r="J452" s="257" t="e">
        <f>#REF!+I452</f>
        <v>#REF!</v>
      </c>
      <c r="K452" s="257">
        <v>-665.7</v>
      </c>
      <c r="L452" s="257" t="e">
        <f>#REF!+J452</f>
        <v>#REF!</v>
      </c>
      <c r="M452" s="257" t="e">
        <f>#REF!+K452</f>
        <v>#REF!</v>
      </c>
      <c r="N452" s="257" t="e">
        <f>#REF!+L452</f>
        <v>#REF!</v>
      </c>
      <c r="O452" s="257" t="e">
        <f>#REF!+M452</f>
        <v>#REF!</v>
      </c>
      <c r="P452" s="257" t="e">
        <f>#REF!+N452</f>
        <v>#REF!</v>
      </c>
      <c r="Q452" s="257" t="e">
        <f>#REF!+O452</f>
        <v>#REF!</v>
      </c>
      <c r="R452" s="257" t="e">
        <f>#REF!+P452</f>
        <v>#REF!</v>
      </c>
      <c r="S452" s="257" t="e">
        <f>#REF!+Q452</f>
        <v>#REF!</v>
      </c>
      <c r="T452" s="257" t="e">
        <f>#REF!+R452</f>
        <v>#REF!</v>
      </c>
      <c r="U452" s="257" t="e">
        <f>#REF!+S452</f>
        <v>#REF!</v>
      </c>
      <c r="V452" s="257" t="e">
        <f>#REF!+T452</f>
        <v>#REF!</v>
      </c>
      <c r="W452" s="257" t="e">
        <f>#REF!+U452</f>
        <v>#REF!</v>
      </c>
      <c r="X452" s="257" t="e">
        <f>#REF!+V452</f>
        <v>#REF!</v>
      </c>
      <c r="Y452" s="257" t="e">
        <f>#REF!+W452</f>
        <v>#REF!</v>
      </c>
      <c r="Z452" s="257" t="e">
        <f>#REF!+X452</f>
        <v>#REF!</v>
      </c>
    </row>
    <row r="453" spans="1:26" ht="57.75" hidden="1" customHeight="1" x14ac:dyDescent="0.2">
      <c r="A453" s="367" t="s">
        <v>727</v>
      </c>
      <c r="B453" s="252" t="s">
        <v>343</v>
      </c>
      <c r="C453" s="272" t="s">
        <v>208</v>
      </c>
      <c r="D453" s="272" t="s">
        <v>194</v>
      </c>
      <c r="E453" s="272" t="s">
        <v>380</v>
      </c>
      <c r="F453" s="272"/>
      <c r="G453" s="257"/>
      <c r="H453" s="257"/>
      <c r="I453" s="257">
        <f t="shared" ref="I453:Y454" si="714">I454</f>
        <v>-3609.5</v>
      </c>
      <c r="J453" s="257" t="e">
        <f t="shared" si="714"/>
        <v>#REF!</v>
      </c>
      <c r="K453" s="257">
        <f t="shared" si="714"/>
        <v>-3609.5</v>
      </c>
      <c r="L453" s="257" t="e">
        <f t="shared" si="714"/>
        <v>#REF!</v>
      </c>
      <c r="M453" s="257" t="e">
        <f t="shared" si="714"/>
        <v>#REF!</v>
      </c>
      <c r="N453" s="257" t="e">
        <f t="shared" si="714"/>
        <v>#REF!</v>
      </c>
      <c r="O453" s="257" t="e">
        <f t="shared" si="714"/>
        <v>#REF!</v>
      </c>
      <c r="P453" s="257" t="e">
        <f t="shared" si="714"/>
        <v>#REF!</v>
      </c>
      <c r="Q453" s="257" t="e">
        <f t="shared" si="714"/>
        <v>#REF!</v>
      </c>
      <c r="R453" s="257" t="e">
        <f t="shared" si="714"/>
        <v>#REF!</v>
      </c>
      <c r="S453" s="257" t="e">
        <f t="shared" si="714"/>
        <v>#REF!</v>
      </c>
      <c r="T453" s="257" t="e">
        <f t="shared" si="714"/>
        <v>#REF!</v>
      </c>
      <c r="U453" s="257" t="e">
        <f t="shared" si="714"/>
        <v>#REF!</v>
      </c>
      <c r="V453" s="257" t="e">
        <f t="shared" si="714"/>
        <v>#REF!</v>
      </c>
      <c r="W453" s="257" t="e">
        <f t="shared" si="714"/>
        <v>#REF!</v>
      </c>
      <c r="X453" s="257" t="e">
        <f t="shared" si="714"/>
        <v>#REF!</v>
      </c>
      <c r="Y453" s="257" t="e">
        <f t="shared" si="714"/>
        <v>#REF!</v>
      </c>
      <c r="Z453" s="257" t="e">
        <f t="shared" ref="Y453:Z454" si="715">Z454</f>
        <v>#REF!</v>
      </c>
    </row>
    <row r="454" spans="1:26" ht="107.25" hidden="1" customHeight="1" x14ac:dyDescent="0.2">
      <c r="A454" s="367" t="s">
        <v>726</v>
      </c>
      <c r="B454" s="252" t="s">
        <v>343</v>
      </c>
      <c r="C454" s="272" t="s">
        <v>208</v>
      </c>
      <c r="D454" s="272" t="s">
        <v>194</v>
      </c>
      <c r="E454" s="272" t="s">
        <v>725</v>
      </c>
      <c r="F454" s="272"/>
      <c r="G454" s="257"/>
      <c r="H454" s="257"/>
      <c r="I454" s="257">
        <f t="shared" si="714"/>
        <v>-3609.5</v>
      </c>
      <c r="J454" s="257" t="e">
        <f t="shared" si="714"/>
        <v>#REF!</v>
      </c>
      <c r="K454" s="257">
        <f t="shared" si="714"/>
        <v>-3609.5</v>
      </c>
      <c r="L454" s="257" t="e">
        <f t="shared" si="714"/>
        <v>#REF!</v>
      </c>
      <c r="M454" s="257" t="e">
        <f t="shared" si="714"/>
        <v>#REF!</v>
      </c>
      <c r="N454" s="257" t="e">
        <f t="shared" si="714"/>
        <v>#REF!</v>
      </c>
      <c r="O454" s="257" t="e">
        <f t="shared" si="714"/>
        <v>#REF!</v>
      </c>
      <c r="P454" s="257" t="e">
        <f t="shared" si="714"/>
        <v>#REF!</v>
      </c>
      <c r="Q454" s="257" t="e">
        <f t="shared" si="714"/>
        <v>#REF!</v>
      </c>
      <c r="R454" s="257" t="e">
        <f t="shared" si="714"/>
        <v>#REF!</v>
      </c>
      <c r="S454" s="257" t="e">
        <f t="shared" si="714"/>
        <v>#REF!</v>
      </c>
      <c r="T454" s="257" t="e">
        <f t="shared" si="714"/>
        <v>#REF!</v>
      </c>
      <c r="U454" s="257" t="e">
        <f t="shared" si="714"/>
        <v>#REF!</v>
      </c>
      <c r="V454" s="257" t="e">
        <f t="shared" si="714"/>
        <v>#REF!</v>
      </c>
      <c r="W454" s="257" t="e">
        <f t="shared" si="714"/>
        <v>#REF!</v>
      </c>
      <c r="X454" s="257" t="e">
        <f t="shared" si="714"/>
        <v>#REF!</v>
      </c>
      <c r="Y454" s="257" t="e">
        <f t="shared" si="715"/>
        <v>#REF!</v>
      </c>
      <c r="Z454" s="257" t="e">
        <f t="shared" si="715"/>
        <v>#REF!</v>
      </c>
    </row>
    <row r="455" spans="1:26" ht="18.75" hidden="1" customHeight="1" x14ac:dyDescent="0.2">
      <c r="A455" s="367" t="s">
        <v>287</v>
      </c>
      <c r="B455" s="252" t="s">
        <v>343</v>
      </c>
      <c r="C455" s="272" t="s">
        <v>208</v>
      </c>
      <c r="D455" s="272" t="s">
        <v>194</v>
      </c>
      <c r="E455" s="272" t="s">
        <v>725</v>
      </c>
      <c r="F455" s="272" t="s">
        <v>269</v>
      </c>
      <c r="G455" s="257"/>
      <c r="H455" s="257"/>
      <c r="I455" s="257">
        <v>-3609.5</v>
      </c>
      <c r="J455" s="257" t="e">
        <f>#REF!+I455</f>
        <v>#REF!</v>
      </c>
      <c r="K455" s="257">
        <v>-3609.5</v>
      </c>
      <c r="L455" s="257" t="e">
        <f>#REF!+J455</f>
        <v>#REF!</v>
      </c>
      <c r="M455" s="257" t="e">
        <f>#REF!+K455</f>
        <v>#REF!</v>
      </c>
      <c r="N455" s="257" t="e">
        <f>#REF!+L455</f>
        <v>#REF!</v>
      </c>
      <c r="O455" s="257" t="e">
        <f>#REF!+M455</f>
        <v>#REF!</v>
      </c>
      <c r="P455" s="257" t="e">
        <f>#REF!+N455</f>
        <v>#REF!</v>
      </c>
      <c r="Q455" s="257" t="e">
        <f>#REF!+O455</f>
        <v>#REF!</v>
      </c>
      <c r="R455" s="257" t="e">
        <f>#REF!+P455</f>
        <v>#REF!</v>
      </c>
      <c r="S455" s="257" t="e">
        <f>#REF!+Q455</f>
        <v>#REF!</v>
      </c>
      <c r="T455" s="257" t="e">
        <f>#REF!+R455</f>
        <v>#REF!</v>
      </c>
      <c r="U455" s="257" t="e">
        <f>#REF!+S455</f>
        <v>#REF!</v>
      </c>
      <c r="V455" s="257" t="e">
        <f>#REF!+T455</f>
        <v>#REF!</v>
      </c>
      <c r="W455" s="257" t="e">
        <f>#REF!+U455</f>
        <v>#REF!</v>
      </c>
      <c r="X455" s="257" t="e">
        <f>#REF!+V455</f>
        <v>#REF!</v>
      </c>
      <c r="Y455" s="257" t="e">
        <f>#REF!+W455</f>
        <v>#REF!</v>
      </c>
      <c r="Z455" s="257" t="e">
        <f>#REF!+X455</f>
        <v>#REF!</v>
      </c>
    </row>
    <row r="456" spans="1:26" ht="38.25" customHeight="1" x14ac:dyDescent="0.2">
      <c r="A456" s="367" t="s">
        <v>1042</v>
      </c>
      <c r="B456" s="252" t="s">
        <v>343</v>
      </c>
      <c r="C456" s="272" t="s">
        <v>208</v>
      </c>
      <c r="D456" s="272" t="s">
        <v>194</v>
      </c>
      <c r="E456" s="272" t="s">
        <v>1261</v>
      </c>
      <c r="F456" s="272"/>
      <c r="G456" s="257"/>
      <c r="H456" s="257">
        <f t="shared" ref="H456:Q456" si="716">H457</f>
        <v>502.9</v>
      </c>
      <c r="I456" s="257">
        <f t="shared" si="716"/>
        <v>0</v>
      </c>
      <c r="J456" s="257">
        <f t="shared" si="716"/>
        <v>502.9</v>
      </c>
      <c r="K456" s="257">
        <f t="shared" si="716"/>
        <v>0</v>
      </c>
      <c r="L456" s="257">
        <f t="shared" si="716"/>
        <v>795.7</v>
      </c>
      <c r="M456" s="257">
        <f t="shared" si="716"/>
        <v>795.7</v>
      </c>
      <c r="N456" s="257">
        <f t="shared" si="716"/>
        <v>36</v>
      </c>
      <c r="O456" s="257">
        <f t="shared" si="716"/>
        <v>831.7</v>
      </c>
      <c r="P456" s="257">
        <f t="shared" si="716"/>
        <v>831.7</v>
      </c>
      <c r="Q456" s="257">
        <f t="shared" si="716"/>
        <v>-328.4</v>
      </c>
      <c r="R456" s="257">
        <f>R457+R458</f>
        <v>511.70000000000005</v>
      </c>
      <c r="S456" s="257">
        <f t="shared" ref="S456:T456" si="717">S457+S458</f>
        <v>-511.7</v>
      </c>
      <c r="T456" s="257">
        <f t="shared" si="717"/>
        <v>0</v>
      </c>
      <c r="U456" s="257">
        <f t="shared" ref="U456:V456" si="718">U457+U458</f>
        <v>220</v>
      </c>
      <c r="V456" s="257">
        <f t="shared" si="718"/>
        <v>0</v>
      </c>
      <c r="W456" s="257">
        <f t="shared" ref="W456:X456" si="719">W457+W458</f>
        <v>220</v>
      </c>
      <c r="X456" s="257">
        <f t="shared" si="719"/>
        <v>0</v>
      </c>
      <c r="Y456" s="257">
        <f t="shared" ref="Y456:Z456" si="720">Y457+Y458</f>
        <v>260</v>
      </c>
      <c r="Z456" s="257">
        <f t="shared" si="720"/>
        <v>260</v>
      </c>
    </row>
    <row r="457" spans="1:26" ht="30" hidden="1" customHeight="1" x14ac:dyDescent="0.2">
      <c r="A457" s="367" t="s">
        <v>1143</v>
      </c>
      <c r="B457" s="252" t="s">
        <v>343</v>
      </c>
      <c r="C457" s="272" t="s">
        <v>208</v>
      </c>
      <c r="D457" s="272" t="s">
        <v>194</v>
      </c>
      <c r="E457" s="272" t="s">
        <v>762</v>
      </c>
      <c r="F457" s="272" t="s">
        <v>160</v>
      </c>
      <c r="G457" s="257"/>
      <c r="H457" s="257">
        <v>502.9</v>
      </c>
      <c r="I457" s="257">
        <v>0</v>
      </c>
      <c r="J457" s="257">
        <f t="shared" ref="J457:J466" si="721">H457+I457</f>
        <v>502.9</v>
      </c>
      <c r="K457" s="257">
        <v>0</v>
      </c>
      <c r="L457" s="257">
        <v>795.7</v>
      </c>
      <c r="M457" s="257">
        <v>795.7</v>
      </c>
      <c r="N457" s="257">
        <v>36</v>
      </c>
      <c r="O457" s="257">
        <f>M457+N457</f>
        <v>831.7</v>
      </c>
      <c r="P457" s="257">
        <v>831.7</v>
      </c>
      <c r="Q457" s="257">
        <v>-328.4</v>
      </c>
      <c r="R457" s="257">
        <f t="shared" si="685"/>
        <v>503.30000000000007</v>
      </c>
      <c r="S457" s="257">
        <v>-503.3</v>
      </c>
      <c r="T457" s="257">
        <f t="shared" ref="T457:T458" si="722">R457+S457</f>
        <v>0</v>
      </c>
      <c r="U457" s="257">
        <v>0</v>
      </c>
      <c r="V457" s="257">
        <f t="shared" ref="V457" si="723">T457+U457</f>
        <v>0</v>
      </c>
      <c r="W457" s="257">
        <v>0</v>
      </c>
      <c r="X457" s="257">
        <f t="shared" ref="X457" si="724">V457+W457</f>
        <v>0</v>
      </c>
      <c r="Y457" s="257">
        <v>0</v>
      </c>
      <c r="Z457" s="257">
        <f t="shared" ref="Z457:Z458" si="725">X457+Y457</f>
        <v>0</v>
      </c>
    </row>
    <row r="458" spans="1:26" ht="21.75" customHeight="1" x14ac:dyDescent="0.2">
      <c r="A458" s="391" t="s">
        <v>768</v>
      </c>
      <c r="B458" s="252" t="s">
        <v>343</v>
      </c>
      <c r="C458" s="272" t="s">
        <v>208</v>
      </c>
      <c r="D458" s="272" t="s">
        <v>194</v>
      </c>
      <c r="E458" s="272" t="s">
        <v>1261</v>
      </c>
      <c r="F458" s="272" t="s">
        <v>769</v>
      </c>
      <c r="G458" s="257"/>
      <c r="H458" s="257">
        <v>5.6</v>
      </c>
      <c r="I458" s="257">
        <v>-0.52</v>
      </c>
      <c r="J458" s="257">
        <f t="shared" si="721"/>
        <v>5.08</v>
      </c>
      <c r="K458" s="257">
        <v>0</v>
      </c>
      <c r="L458" s="257">
        <v>8</v>
      </c>
      <c r="M458" s="257">
        <v>8</v>
      </c>
      <c r="N458" s="257">
        <v>0.4</v>
      </c>
      <c r="O458" s="257">
        <f>M458+N458</f>
        <v>8.4</v>
      </c>
      <c r="P458" s="257">
        <v>8.4</v>
      </c>
      <c r="Q458" s="257">
        <v>0</v>
      </c>
      <c r="R458" s="257">
        <f t="shared" si="685"/>
        <v>8.4</v>
      </c>
      <c r="S458" s="257">
        <v>-8.4</v>
      </c>
      <c r="T458" s="257">
        <f t="shared" si="722"/>
        <v>0</v>
      </c>
      <c r="U458" s="257">
        <v>220</v>
      </c>
      <c r="V458" s="257">
        <v>0</v>
      </c>
      <c r="W458" s="257">
        <v>220</v>
      </c>
      <c r="X458" s="257">
        <v>0</v>
      </c>
      <c r="Y458" s="257">
        <v>260</v>
      </c>
      <c r="Z458" s="257">
        <f t="shared" si="725"/>
        <v>260</v>
      </c>
    </row>
    <row r="459" spans="1:26" ht="33.75" customHeight="1" x14ac:dyDescent="0.2">
      <c r="A459" s="417" t="s">
        <v>1195</v>
      </c>
      <c r="B459" s="252" t="s">
        <v>343</v>
      </c>
      <c r="C459" s="272" t="s">
        <v>208</v>
      </c>
      <c r="D459" s="272" t="s">
        <v>194</v>
      </c>
      <c r="E459" s="272" t="s">
        <v>1294</v>
      </c>
      <c r="F459" s="272"/>
      <c r="G459" s="257"/>
      <c r="H459" s="257">
        <f>H460</f>
        <v>3669</v>
      </c>
      <c r="I459" s="257">
        <f>I460</f>
        <v>0</v>
      </c>
      <c r="J459" s="257">
        <f t="shared" si="721"/>
        <v>3669</v>
      </c>
      <c r="K459" s="257">
        <f>K460</f>
        <v>0</v>
      </c>
      <c r="L459" s="257">
        <f>L460</f>
        <v>3674.7</v>
      </c>
      <c r="M459" s="257">
        <f>M460</f>
        <v>3674.7</v>
      </c>
      <c r="N459" s="257">
        <f t="shared" ref="N459:Q459" si="726">N460</f>
        <v>-3674.7</v>
      </c>
      <c r="O459" s="257">
        <f t="shared" si="726"/>
        <v>0</v>
      </c>
      <c r="P459" s="257">
        <f t="shared" si="726"/>
        <v>0</v>
      </c>
      <c r="Q459" s="257">
        <f t="shared" si="726"/>
        <v>0</v>
      </c>
      <c r="R459" s="257">
        <f>R460</f>
        <v>0</v>
      </c>
      <c r="S459" s="257">
        <f t="shared" ref="S459:W459" si="727">S460</f>
        <v>8352</v>
      </c>
      <c r="T459" s="257">
        <f t="shared" si="727"/>
        <v>8352</v>
      </c>
      <c r="U459" s="257">
        <f t="shared" si="727"/>
        <v>830</v>
      </c>
      <c r="V459" s="257">
        <f t="shared" si="727"/>
        <v>0</v>
      </c>
      <c r="W459" s="257">
        <f t="shared" si="727"/>
        <v>9182</v>
      </c>
      <c r="X459" s="257">
        <f>X460+X461</f>
        <v>9182</v>
      </c>
      <c r="Y459" s="257">
        <f t="shared" ref="Y459:Z459" si="728">Y460+Y461</f>
        <v>1818</v>
      </c>
      <c r="Z459" s="257">
        <f t="shared" si="728"/>
        <v>11000</v>
      </c>
    </row>
    <row r="460" spans="1:26" ht="18" customHeight="1" x14ac:dyDescent="0.2">
      <c r="A460" s="367" t="s">
        <v>768</v>
      </c>
      <c r="B460" s="252" t="s">
        <v>343</v>
      </c>
      <c r="C460" s="272" t="s">
        <v>208</v>
      </c>
      <c r="D460" s="272" t="s">
        <v>194</v>
      </c>
      <c r="E460" s="272" t="s">
        <v>1086</v>
      </c>
      <c r="F460" s="272" t="s">
        <v>769</v>
      </c>
      <c r="G460" s="257"/>
      <c r="H460" s="257">
        <v>3669</v>
      </c>
      <c r="I460" s="257">
        <v>0</v>
      </c>
      <c r="J460" s="257">
        <f t="shared" si="721"/>
        <v>3669</v>
      </c>
      <c r="K460" s="257">
        <v>0</v>
      </c>
      <c r="L460" s="257">
        <v>3674.7</v>
      </c>
      <c r="M460" s="257">
        <v>3674.7</v>
      </c>
      <c r="N460" s="257">
        <v>-3674.7</v>
      </c>
      <c r="O460" s="257">
        <f>M460+N460</f>
        <v>0</v>
      </c>
      <c r="P460" s="257">
        <v>0</v>
      </c>
      <c r="Q460" s="257">
        <v>0</v>
      </c>
      <c r="R460" s="257">
        <f t="shared" si="685"/>
        <v>0</v>
      </c>
      <c r="S460" s="257">
        <v>8352</v>
      </c>
      <c r="T460" s="257">
        <f t="shared" ref="T460" si="729">R460+S460</f>
        <v>8352</v>
      </c>
      <c r="U460" s="257">
        <v>830</v>
      </c>
      <c r="V460" s="257">
        <v>0</v>
      </c>
      <c r="W460" s="257">
        <v>9182</v>
      </c>
      <c r="X460" s="257">
        <v>9182</v>
      </c>
      <c r="Y460" s="257">
        <v>-9182</v>
      </c>
      <c r="Z460" s="257">
        <f t="shared" ref="Z460" si="730">X460+Y460</f>
        <v>0</v>
      </c>
    </row>
    <row r="461" spans="1:26" ht="18" customHeight="1" x14ac:dyDescent="0.2">
      <c r="A461" s="367" t="s">
        <v>768</v>
      </c>
      <c r="B461" s="252" t="s">
        <v>343</v>
      </c>
      <c r="C461" s="272" t="s">
        <v>208</v>
      </c>
      <c r="D461" s="272" t="s">
        <v>194</v>
      </c>
      <c r="E461" s="272" t="s">
        <v>1294</v>
      </c>
      <c r="F461" s="272" t="s">
        <v>769</v>
      </c>
      <c r="G461" s="257"/>
      <c r="H461" s="257">
        <v>3669</v>
      </c>
      <c r="I461" s="257">
        <v>0</v>
      </c>
      <c r="J461" s="257">
        <f t="shared" ref="J461" si="731">H461+I461</f>
        <v>3669</v>
      </c>
      <c r="K461" s="257">
        <v>0</v>
      </c>
      <c r="L461" s="257">
        <v>3674.7</v>
      </c>
      <c r="M461" s="257">
        <v>3674.7</v>
      </c>
      <c r="N461" s="257">
        <v>-3674.7</v>
      </c>
      <c r="O461" s="257">
        <f>M461+N461</f>
        <v>0</v>
      </c>
      <c r="P461" s="257">
        <v>0</v>
      </c>
      <c r="Q461" s="257">
        <v>0</v>
      </c>
      <c r="R461" s="257">
        <f t="shared" ref="R461" si="732">P461+Q461</f>
        <v>0</v>
      </c>
      <c r="S461" s="257">
        <v>8352</v>
      </c>
      <c r="T461" s="257">
        <f t="shared" ref="T461" si="733">R461+S461</f>
        <v>8352</v>
      </c>
      <c r="U461" s="257">
        <v>830</v>
      </c>
      <c r="V461" s="257">
        <v>0</v>
      </c>
      <c r="W461" s="257">
        <v>9182</v>
      </c>
      <c r="X461" s="257">
        <v>0</v>
      </c>
      <c r="Y461" s="257">
        <v>11000</v>
      </c>
      <c r="Z461" s="257">
        <f t="shared" ref="Z461" si="734">X461+Y461</f>
        <v>11000</v>
      </c>
    </row>
    <row r="462" spans="1:26" ht="18" hidden="1" customHeight="1" x14ac:dyDescent="0.2">
      <c r="A462" s="367" t="s">
        <v>887</v>
      </c>
      <c r="B462" s="252" t="s">
        <v>343</v>
      </c>
      <c r="C462" s="272" t="s">
        <v>208</v>
      </c>
      <c r="D462" s="272" t="s">
        <v>194</v>
      </c>
      <c r="E462" s="272" t="s">
        <v>888</v>
      </c>
      <c r="F462" s="272"/>
      <c r="G462" s="257"/>
      <c r="H462" s="257">
        <f>H463</f>
        <v>500</v>
      </c>
      <c r="I462" s="257">
        <f>I463</f>
        <v>845.40000000000009</v>
      </c>
      <c r="J462" s="257">
        <f t="shared" si="721"/>
        <v>1345.4</v>
      </c>
      <c r="K462" s="257">
        <f>K463</f>
        <v>264.01499999999999</v>
      </c>
      <c r="L462" s="257">
        <f>L463</f>
        <v>0</v>
      </c>
      <c r="M462" s="257">
        <f>M463</f>
        <v>0</v>
      </c>
      <c r="N462" s="257">
        <f t="shared" ref="N462:Q462" si="735">N463</f>
        <v>0</v>
      </c>
      <c r="O462" s="257">
        <f t="shared" si="735"/>
        <v>0</v>
      </c>
      <c r="P462" s="257">
        <f t="shared" si="735"/>
        <v>0</v>
      </c>
      <c r="Q462" s="257">
        <f t="shared" si="735"/>
        <v>0</v>
      </c>
      <c r="R462" s="257">
        <f>R463</f>
        <v>0</v>
      </c>
      <c r="S462" s="257">
        <f t="shared" ref="S462:Z462" si="736">S463</f>
        <v>0</v>
      </c>
      <c r="T462" s="257">
        <f t="shared" si="736"/>
        <v>0</v>
      </c>
      <c r="U462" s="257">
        <f t="shared" si="736"/>
        <v>0</v>
      </c>
      <c r="V462" s="257">
        <f t="shared" si="736"/>
        <v>0</v>
      </c>
      <c r="W462" s="257">
        <f t="shared" si="736"/>
        <v>0</v>
      </c>
      <c r="X462" s="257">
        <f t="shared" si="736"/>
        <v>0</v>
      </c>
      <c r="Y462" s="257">
        <f t="shared" si="736"/>
        <v>0</v>
      </c>
      <c r="Z462" s="257">
        <f t="shared" si="736"/>
        <v>0</v>
      </c>
    </row>
    <row r="463" spans="1:26" ht="15.75" hidden="1" customHeight="1" x14ac:dyDescent="0.2">
      <c r="A463" s="367" t="s">
        <v>768</v>
      </c>
      <c r="B463" s="252" t="s">
        <v>343</v>
      </c>
      <c r="C463" s="272" t="s">
        <v>208</v>
      </c>
      <c r="D463" s="272" t="s">
        <v>194</v>
      </c>
      <c r="E463" s="272" t="s">
        <v>888</v>
      </c>
      <c r="F463" s="272" t="s">
        <v>769</v>
      </c>
      <c r="G463" s="257"/>
      <c r="H463" s="257">
        <v>500</v>
      </c>
      <c r="I463" s="257">
        <f>535.61+309.79</f>
        <v>845.40000000000009</v>
      </c>
      <c r="J463" s="257">
        <f t="shared" si="721"/>
        <v>1345.4</v>
      </c>
      <c r="K463" s="257">
        <v>264.01499999999999</v>
      </c>
      <c r="L463" s="257">
        <v>0</v>
      </c>
      <c r="M463" s="257">
        <v>0</v>
      </c>
      <c r="N463" s="257">
        <v>0</v>
      </c>
      <c r="O463" s="257">
        <f>M463+N463</f>
        <v>0</v>
      </c>
      <c r="P463" s="257">
        <v>0</v>
      </c>
      <c r="Q463" s="257">
        <v>0</v>
      </c>
      <c r="R463" s="257">
        <f t="shared" si="685"/>
        <v>0</v>
      </c>
      <c r="S463" s="257">
        <f t="shared" ref="S463" si="737">Q463+R463</f>
        <v>0</v>
      </c>
      <c r="T463" s="257">
        <f t="shared" ref="T463" si="738">R463+S463</f>
        <v>0</v>
      </c>
      <c r="U463" s="257">
        <f t="shared" ref="U463" si="739">S463+T463</f>
        <v>0</v>
      </c>
      <c r="V463" s="257">
        <f t="shared" ref="V463" si="740">T463+U463</f>
        <v>0</v>
      </c>
      <c r="W463" s="257">
        <f t="shared" ref="W463" si="741">U463+V463</f>
        <v>0</v>
      </c>
      <c r="X463" s="257">
        <f t="shared" ref="X463" si="742">V463+W463</f>
        <v>0</v>
      </c>
      <c r="Y463" s="257">
        <f t="shared" ref="Y463" si="743">W463+X463</f>
        <v>0</v>
      </c>
      <c r="Z463" s="257">
        <f t="shared" ref="Z463" si="744">X463+Y463</f>
        <v>0</v>
      </c>
    </row>
    <row r="464" spans="1:26" ht="20.25" customHeight="1" x14ac:dyDescent="0.2">
      <c r="A464" s="367" t="s">
        <v>1216</v>
      </c>
      <c r="B464" s="252" t="s">
        <v>343</v>
      </c>
      <c r="C464" s="272" t="s">
        <v>208</v>
      </c>
      <c r="D464" s="272" t="s">
        <v>194</v>
      </c>
      <c r="E464" s="272" t="s">
        <v>888</v>
      </c>
      <c r="F464" s="272"/>
      <c r="G464" s="257"/>
      <c r="H464" s="257">
        <f>H465</f>
        <v>500</v>
      </c>
      <c r="I464" s="257">
        <f>I465</f>
        <v>845.40000000000009</v>
      </c>
      <c r="J464" s="257">
        <f t="shared" si="721"/>
        <v>1345.4</v>
      </c>
      <c r="K464" s="257">
        <f>K465</f>
        <v>264.01499999999999</v>
      </c>
      <c r="L464" s="257">
        <f>L465</f>
        <v>0</v>
      </c>
      <c r="M464" s="257">
        <f>M465</f>
        <v>0</v>
      </c>
      <c r="N464" s="257">
        <f t="shared" ref="N464:Y464" si="745">N465</f>
        <v>0</v>
      </c>
      <c r="O464" s="257">
        <f t="shared" si="745"/>
        <v>0</v>
      </c>
      <c r="P464" s="257">
        <f t="shared" si="745"/>
        <v>1350</v>
      </c>
      <c r="Q464" s="257">
        <f t="shared" si="745"/>
        <v>1350</v>
      </c>
      <c r="R464" s="257">
        <f t="shared" si="745"/>
        <v>0</v>
      </c>
      <c r="S464" s="257">
        <f t="shared" si="745"/>
        <v>1350</v>
      </c>
      <c r="T464" s="257">
        <f t="shared" ref="T464:Z464" si="746">T465</f>
        <v>0</v>
      </c>
      <c r="U464" s="257">
        <f t="shared" si="745"/>
        <v>700</v>
      </c>
      <c r="V464" s="257">
        <f t="shared" si="746"/>
        <v>0</v>
      </c>
      <c r="W464" s="257">
        <f t="shared" si="745"/>
        <v>1449.3</v>
      </c>
      <c r="X464" s="257">
        <f t="shared" si="746"/>
        <v>0</v>
      </c>
      <c r="Y464" s="257">
        <f t="shared" si="745"/>
        <v>700</v>
      </c>
      <c r="Z464" s="257">
        <f t="shared" si="746"/>
        <v>700</v>
      </c>
    </row>
    <row r="465" spans="1:26" ht="20.25" customHeight="1" x14ac:dyDescent="0.2">
      <c r="A465" s="367" t="s">
        <v>768</v>
      </c>
      <c r="B465" s="252" t="s">
        <v>343</v>
      </c>
      <c r="C465" s="272" t="s">
        <v>208</v>
      </c>
      <c r="D465" s="272" t="s">
        <v>194</v>
      </c>
      <c r="E465" s="272" t="s">
        <v>888</v>
      </c>
      <c r="F465" s="272" t="s">
        <v>769</v>
      </c>
      <c r="G465" s="257"/>
      <c r="H465" s="257">
        <v>500</v>
      </c>
      <c r="I465" s="257">
        <f>535.61+309.79</f>
        <v>845.40000000000009</v>
      </c>
      <c r="J465" s="257">
        <f t="shared" si="721"/>
        <v>1345.4</v>
      </c>
      <c r="K465" s="257">
        <v>264.01499999999999</v>
      </c>
      <c r="L465" s="257">
        <v>0</v>
      </c>
      <c r="M465" s="257">
        <v>0</v>
      </c>
      <c r="N465" s="257">
        <v>0</v>
      </c>
      <c r="O465" s="257">
        <f>M465+N465</f>
        <v>0</v>
      </c>
      <c r="P465" s="257">
        <f>650+700</f>
        <v>1350</v>
      </c>
      <c r="Q465" s="257">
        <f>O465+P465</f>
        <v>1350</v>
      </c>
      <c r="R465" s="257">
        <v>0</v>
      </c>
      <c r="S465" s="257">
        <f>Q465+R465</f>
        <v>1350</v>
      </c>
      <c r="T465" s="257">
        <v>0</v>
      </c>
      <c r="U465" s="257">
        <v>700</v>
      </c>
      <c r="V465" s="257">
        <v>0</v>
      </c>
      <c r="W465" s="257">
        <f>700+599.3+150</f>
        <v>1449.3</v>
      </c>
      <c r="X465" s="257">
        <v>0</v>
      </c>
      <c r="Y465" s="257">
        <v>700</v>
      </c>
      <c r="Z465" s="257">
        <f t="shared" ref="Z465" si="747">X465+Y465</f>
        <v>700</v>
      </c>
    </row>
    <row r="466" spans="1:26" s="428" customFormat="1" ht="15.75" x14ac:dyDescent="0.2">
      <c r="A466" s="553" t="s">
        <v>308</v>
      </c>
      <c r="B466" s="554"/>
      <c r="C466" s="554"/>
      <c r="D466" s="554"/>
      <c r="E466" s="554"/>
      <c r="F466" s="554"/>
      <c r="G466" s="449"/>
      <c r="H466" s="447">
        <f>H467</f>
        <v>4429.5</v>
      </c>
      <c r="I466" s="447">
        <f>I467</f>
        <v>0</v>
      </c>
      <c r="J466" s="449">
        <f t="shared" si="721"/>
        <v>4429.5</v>
      </c>
      <c r="K466" s="447">
        <f>K467</f>
        <v>0</v>
      </c>
      <c r="L466" s="447">
        <f>L467</f>
        <v>4492</v>
      </c>
      <c r="M466" s="447">
        <f>M467</f>
        <v>4492</v>
      </c>
      <c r="N466" s="447">
        <f>N467</f>
        <v>-46</v>
      </c>
      <c r="O466" s="447">
        <f t="shared" ref="O466:Z466" si="748">O467</f>
        <v>4446</v>
      </c>
      <c r="P466" s="447">
        <f t="shared" si="748"/>
        <v>4446</v>
      </c>
      <c r="Q466" s="447">
        <f t="shared" si="748"/>
        <v>0</v>
      </c>
      <c r="R466" s="447">
        <f t="shared" si="748"/>
        <v>4446</v>
      </c>
      <c r="S466" s="447">
        <f t="shared" si="748"/>
        <v>1977.7</v>
      </c>
      <c r="T466" s="447">
        <f t="shared" si="748"/>
        <v>6175</v>
      </c>
      <c r="U466" s="447">
        <f t="shared" si="748"/>
        <v>559</v>
      </c>
      <c r="V466" s="447">
        <f t="shared" si="748"/>
        <v>6175</v>
      </c>
      <c r="W466" s="447">
        <f t="shared" si="748"/>
        <v>2554</v>
      </c>
      <c r="X466" s="447">
        <f t="shared" si="748"/>
        <v>6568</v>
      </c>
      <c r="Y466" s="447">
        <f t="shared" si="748"/>
        <v>1260</v>
      </c>
      <c r="Z466" s="447">
        <f t="shared" si="748"/>
        <v>7828</v>
      </c>
    </row>
    <row r="467" spans="1:26" s="430" customFormat="1" ht="14.25" x14ac:dyDescent="0.2">
      <c r="A467" s="462" t="s">
        <v>72</v>
      </c>
      <c r="B467" s="249">
        <v>800</v>
      </c>
      <c r="C467" s="250" t="s">
        <v>190</v>
      </c>
      <c r="D467" s="250"/>
      <c r="E467" s="250"/>
      <c r="F467" s="250"/>
      <c r="G467" s="275"/>
      <c r="H467" s="275">
        <f t="shared" ref="H467:R467" si="749">H468+H505</f>
        <v>4429.5</v>
      </c>
      <c r="I467" s="275">
        <f t="shared" si="749"/>
        <v>0</v>
      </c>
      <c r="J467" s="275">
        <f t="shared" si="749"/>
        <v>4429.5</v>
      </c>
      <c r="K467" s="275">
        <f t="shared" si="749"/>
        <v>0</v>
      </c>
      <c r="L467" s="275">
        <f t="shared" si="749"/>
        <v>4492</v>
      </c>
      <c r="M467" s="275">
        <f t="shared" si="749"/>
        <v>4492</v>
      </c>
      <c r="N467" s="275">
        <f t="shared" si="749"/>
        <v>-46</v>
      </c>
      <c r="O467" s="275">
        <f t="shared" si="749"/>
        <v>4446</v>
      </c>
      <c r="P467" s="275">
        <f t="shared" si="749"/>
        <v>4446</v>
      </c>
      <c r="Q467" s="275">
        <f t="shared" si="749"/>
        <v>0</v>
      </c>
      <c r="R467" s="275">
        <f t="shared" si="749"/>
        <v>4446</v>
      </c>
      <c r="S467" s="275">
        <f t="shared" ref="S467:T467" si="750">S468+S505</f>
        <v>1977.7</v>
      </c>
      <c r="T467" s="275">
        <f t="shared" si="750"/>
        <v>6175</v>
      </c>
      <c r="U467" s="275">
        <f t="shared" ref="U467:V467" si="751">U468+U505</f>
        <v>559</v>
      </c>
      <c r="V467" s="275">
        <f t="shared" si="751"/>
        <v>6175</v>
      </c>
      <c r="W467" s="275">
        <f t="shared" ref="W467:X467" si="752">W468+W505</f>
        <v>2554</v>
      </c>
      <c r="X467" s="275">
        <f t="shared" si="752"/>
        <v>6568</v>
      </c>
      <c r="Y467" s="275">
        <f t="shared" ref="Y467:Z467" si="753">Y468+Y505</f>
        <v>1260</v>
      </c>
      <c r="Z467" s="275">
        <f t="shared" si="753"/>
        <v>7828</v>
      </c>
    </row>
    <row r="468" spans="1:26" ht="36.75" customHeight="1" x14ac:dyDescent="0.2">
      <c r="A468" s="462" t="s">
        <v>193</v>
      </c>
      <c r="B468" s="249">
        <v>800</v>
      </c>
      <c r="C468" s="250" t="s">
        <v>190</v>
      </c>
      <c r="D468" s="250" t="s">
        <v>194</v>
      </c>
      <c r="E468" s="250"/>
      <c r="F468" s="250"/>
      <c r="G468" s="257">
        <f>G482+G491</f>
        <v>0</v>
      </c>
      <c r="H468" s="257">
        <f t="shared" ref="H468:R468" si="754">H491+H495</f>
        <v>3350</v>
      </c>
      <c r="I468" s="257">
        <f t="shared" si="754"/>
        <v>0</v>
      </c>
      <c r="J468" s="257">
        <f t="shared" si="754"/>
        <v>3350</v>
      </c>
      <c r="K468" s="257">
        <f t="shared" si="754"/>
        <v>0</v>
      </c>
      <c r="L468" s="257">
        <f t="shared" si="754"/>
        <v>3426</v>
      </c>
      <c r="M468" s="257">
        <f t="shared" si="754"/>
        <v>3426</v>
      </c>
      <c r="N468" s="257">
        <f t="shared" si="754"/>
        <v>0</v>
      </c>
      <c r="O468" s="257">
        <f t="shared" si="754"/>
        <v>3426</v>
      </c>
      <c r="P468" s="257">
        <f t="shared" si="754"/>
        <v>3426</v>
      </c>
      <c r="Q468" s="257">
        <f t="shared" si="754"/>
        <v>0</v>
      </c>
      <c r="R468" s="257">
        <f t="shared" si="754"/>
        <v>3426</v>
      </c>
      <c r="S468" s="257">
        <f t="shared" ref="S468:T468" si="755">S491+S495</f>
        <v>920.5</v>
      </c>
      <c r="T468" s="257">
        <f t="shared" si="755"/>
        <v>4371</v>
      </c>
      <c r="U468" s="257">
        <f t="shared" ref="U468:V468" si="756">U491+U495</f>
        <v>163</v>
      </c>
      <c r="V468" s="257">
        <f t="shared" si="756"/>
        <v>4371</v>
      </c>
      <c r="W468" s="257">
        <f t="shared" ref="W468:X468" si="757">W491+W495</f>
        <v>1378</v>
      </c>
      <c r="X468" s="257">
        <f t="shared" si="757"/>
        <v>4504</v>
      </c>
      <c r="Y468" s="257">
        <f t="shared" ref="Y468" si="758">Y491+Y495</f>
        <v>1072</v>
      </c>
      <c r="Z468" s="257">
        <f>Z491+Z495</f>
        <v>5576</v>
      </c>
    </row>
    <row r="469" spans="1:26" ht="33.75" hidden="1" customHeight="1" x14ac:dyDescent="0.2">
      <c r="A469" s="259" t="s">
        <v>123</v>
      </c>
      <c r="B469" s="271">
        <v>800</v>
      </c>
      <c r="C469" s="252" t="s">
        <v>190</v>
      </c>
      <c r="D469" s="252" t="s">
        <v>194</v>
      </c>
      <c r="E469" s="260" t="s">
        <v>332</v>
      </c>
      <c r="F469" s="252"/>
      <c r="G469" s="257"/>
      <c r="H469" s="257"/>
      <c r="I469" s="257">
        <f>I470</f>
        <v>-1958.2</v>
      </c>
      <c r="J469" s="257">
        <f>J470</f>
        <v>-1958.2</v>
      </c>
      <c r="K469" s="257">
        <f>K470</f>
        <v>-1958.2</v>
      </c>
      <c r="L469" s="257">
        <f>L470</f>
        <v>-1958.2</v>
      </c>
      <c r="M469" s="257">
        <f>M470</f>
        <v>-3916.4</v>
      </c>
      <c r="N469" s="257">
        <f t="shared" ref="N469:Z469" si="759">N470</f>
        <v>-3916.4</v>
      </c>
      <c r="O469" s="257">
        <f t="shared" si="759"/>
        <v>-5874.6</v>
      </c>
      <c r="P469" s="257">
        <f t="shared" si="759"/>
        <v>-5874.6</v>
      </c>
      <c r="Q469" s="257">
        <f t="shared" si="759"/>
        <v>-9791</v>
      </c>
      <c r="R469" s="257">
        <f t="shared" si="759"/>
        <v>-9791</v>
      </c>
      <c r="S469" s="257">
        <f t="shared" si="759"/>
        <v>-15665.6</v>
      </c>
      <c r="T469" s="257">
        <f t="shared" si="759"/>
        <v>-15665.6</v>
      </c>
      <c r="U469" s="257">
        <f t="shared" si="759"/>
        <v>-25456.6</v>
      </c>
      <c r="V469" s="257">
        <f t="shared" si="759"/>
        <v>-25456.6</v>
      </c>
      <c r="W469" s="257">
        <f t="shared" si="759"/>
        <v>-41122.199999999997</v>
      </c>
      <c r="X469" s="257">
        <f t="shared" si="759"/>
        <v>-41122.199999999997</v>
      </c>
      <c r="Y469" s="257">
        <f t="shared" si="759"/>
        <v>-66578.799999999988</v>
      </c>
      <c r="Z469" s="257">
        <f t="shared" si="759"/>
        <v>-66578.799999999988</v>
      </c>
    </row>
    <row r="470" spans="1:26" hidden="1" x14ac:dyDescent="0.2">
      <c r="A470" s="259" t="s">
        <v>333</v>
      </c>
      <c r="B470" s="271">
        <v>800</v>
      </c>
      <c r="C470" s="252" t="s">
        <v>190</v>
      </c>
      <c r="D470" s="252" t="s">
        <v>194</v>
      </c>
      <c r="E470" s="260" t="s">
        <v>334</v>
      </c>
      <c r="F470" s="252"/>
      <c r="G470" s="257"/>
      <c r="H470" s="257"/>
      <c r="I470" s="257">
        <f>I471+I472+I473+I475+I478</f>
        <v>-1958.2</v>
      </c>
      <c r="J470" s="257">
        <f>J471+J472+J473+J475+J478</f>
        <v>-1958.2</v>
      </c>
      <c r="K470" s="257">
        <f>K471+K472+K473+K475+K478</f>
        <v>-1958.2</v>
      </c>
      <c r="L470" s="257">
        <f>L471+L472+L473+L475+L478</f>
        <v>-1958.2</v>
      </c>
      <c r="M470" s="257">
        <f>M471+M472+M473+M475+M478</f>
        <v>-3916.4</v>
      </c>
      <c r="N470" s="257">
        <f t="shared" ref="N470:R470" si="760">N471+N472+N473+N475+N478</f>
        <v>-3916.4</v>
      </c>
      <c r="O470" s="257">
        <f t="shared" si="760"/>
        <v>-5874.6</v>
      </c>
      <c r="P470" s="257">
        <f t="shared" si="760"/>
        <v>-5874.6</v>
      </c>
      <c r="Q470" s="257">
        <f t="shared" si="760"/>
        <v>-9791</v>
      </c>
      <c r="R470" s="257">
        <f t="shared" si="760"/>
        <v>-9791</v>
      </c>
      <c r="S470" s="257">
        <f t="shared" ref="S470:T470" si="761">S471+S472+S473+S475+S478</f>
        <v>-15665.6</v>
      </c>
      <c r="T470" s="257">
        <f t="shared" si="761"/>
        <v>-15665.6</v>
      </c>
      <c r="U470" s="257">
        <f t="shared" ref="U470:V470" si="762">U471+U472+U473+U475+U478</f>
        <v>-25456.6</v>
      </c>
      <c r="V470" s="257">
        <f t="shared" si="762"/>
        <v>-25456.6</v>
      </c>
      <c r="W470" s="257">
        <f t="shared" ref="W470:X470" si="763">W471+W472+W473+W475+W478</f>
        <v>-41122.199999999997</v>
      </c>
      <c r="X470" s="257">
        <f t="shared" si="763"/>
        <v>-41122.199999999997</v>
      </c>
      <c r="Y470" s="257">
        <f t="shared" ref="Y470:Z470" si="764">Y471+Y472+Y473+Y475+Y478</f>
        <v>-66578.799999999988</v>
      </c>
      <c r="Z470" s="257">
        <f t="shared" si="764"/>
        <v>-66578.799999999988</v>
      </c>
    </row>
    <row r="471" spans="1:26" hidden="1" x14ac:dyDescent="0.2">
      <c r="A471" s="259" t="s">
        <v>95</v>
      </c>
      <c r="B471" s="271">
        <v>800</v>
      </c>
      <c r="C471" s="252" t="s">
        <v>190</v>
      </c>
      <c r="D471" s="252" t="s">
        <v>194</v>
      </c>
      <c r="E471" s="260" t="s">
        <v>334</v>
      </c>
      <c r="F471" s="252" t="s">
        <v>96</v>
      </c>
      <c r="G471" s="257"/>
      <c r="H471" s="257"/>
      <c r="I471" s="257">
        <v>-1286.2</v>
      </c>
      <c r="J471" s="257">
        <f t="shared" ref="J471:J478" si="765">G471+I471</f>
        <v>-1286.2</v>
      </c>
      <c r="K471" s="257">
        <v>-1286.2</v>
      </c>
      <c r="L471" s="257">
        <f t="shared" ref="L471:R478" si="766">H471+J471</f>
        <v>-1286.2</v>
      </c>
      <c r="M471" s="257">
        <f t="shared" si="766"/>
        <v>-2572.4</v>
      </c>
      <c r="N471" s="257">
        <f t="shared" si="766"/>
        <v>-2572.4</v>
      </c>
      <c r="O471" s="257">
        <f t="shared" si="766"/>
        <v>-3858.6000000000004</v>
      </c>
      <c r="P471" s="257">
        <f t="shared" si="766"/>
        <v>-3858.6000000000004</v>
      </c>
      <c r="Q471" s="257">
        <f t="shared" si="766"/>
        <v>-6431</v>
      </c>
      <c r="R471" s="257">
        <f t="shared" si="766"/>
        <v>-6431</v>
      </c>
      <c r="S471" s="257">
        <f t="shared" ref="S471:S478" si="767">O471+Q471</f>
        <v>-10289.6</v>
      </c>
      <c r="T471" s="257">
        <f t="shared" ref="T471:T478" si="768">P471+R471</f>
        <v>-10289.6</v>
      </c>
      <c r="U471" s="257">
        <f t="shared" ref="U471:U478" si="769">Q471+S471</f>
        <v>-16720.599999999999</v>
      </c>
      <c r="V471" s="257">
        <f t="shared" ref="V471:V478" si="770">R471+T471</f>
        <v>-16720.599999999999</v>
      </c>
      <c r="W471" s="257">
        <f t="shared" ref="W471:W478" si="771">S471+U471</f>
        <v>-27010.199999999997</v>
      </c>
      <c r="X471" s="257">
        <f t="shared" ref="X471:X478" si="772">T471+V471</f>
        <v>-27010.199999999997</v>
      </c>
      <c r="Y471" s="257">
        <f t="shared" ref="Y471:Y478" si="773">U471+W471</f>
        <v>-43730.799999999996</v>
      </c>
      <c r="Z471" s="257">
        <f t="shared" ref="Z471:Z478" si="774">V471+X471</f>
        <v>-43730.799999999996</v>
      </c>
    </row>
    <row r="472" spans="1:26" hidden="1" x14ac:dyDescent="0.2">
      <c r="A472" s="259" t="s">
        <v>97</v>
      </c>
      <c r="B472" s="271">
        <v>800</v>
      </c>
      <c r="C472" s="252" t="s">
        <v>190</v>
      </c>
      <c r="D472" s="252" t="s">
        <v>194</v>
      </c>
      <c r="E472" s="260" t="s">
        <v>334</v>
      </c>
      <c r="F472" s="252" t="s">
        <v>98</v>
      </c>
      <c r="G472" s="257"/>
      <c r="H472" s="257"/>
      <c r="I472" s="257">
        <v>-152</v>
      </c>
      <c r="J472" s="257">
        <f t="shared" si="765"/>
        <v>-152</v>
      </c>
      <c r="K472" s="257">
        <v>-152</v>
      </c>
      <c r="L472" s="257">
        <f t="shared" si="766"/>
        <v>-152</v>
      </c>
      <c r="M472" s="257">
        <f t="shared" si="766"/>
        <v>-304</v>
      </c>
      <c r="N472" s="257">
        <f t="shared" si="766"/>
        <v>-304</v>
      </c>
      <c r="O472" s="257">
        <f t="shared" si="766"/>
        <v>-456</v>
      </c>
      <c r="P472" s="257">
        <f t="shared" si="766"/>
        <v>-456</v>
      </c>
      <c r="Q472" s="257">
        <f t="shared" si="766"/>
        <v>-760</v>
      </c>
      <c r="R472" s="257">
        <f t="shared" si="766"/>
        <v>-760</v>
      </c>
      <c r="S472" s="257">
        <f t="shared" si="767"/>
        <v>-1216</v>
      </c>
      <c r="T472" s="257">
        <f t="shared" si="768"/>
        <v>-1216</v>
      </c>
      <c r="U472" s="257">
        <f t="shared" si="769"/>
        <v>-1976</v>
      </c>
      <c r="V472" s="257">
        <f t="shared" si="770"/>
        <v>-1976</v>
      </c>
      <c r="W472" s="257">
        <f t="shared" si="771"/>
        <v>-3192</v>
      </c>
      <c r="X472" s="257">
        <f t="shared" si="772"/>
        <v>-3192</v>
      </c>
      <c r="Y472" s="257">
        <f t="shared" si="773"/>
        <v>-5168</v>
      </c>
      <c r="Z472" s="257">
        <f t="shared" si="774"/>
        <v>-5168</v>
      </c>
    </row>
    <row r="473" spans="1:26" ht="17.25" hidden="1" customHeight="1" x14ac:dyDescent="0.2">
      <c r="A473" s="259" t="s">
        <v>99</v>
      </c>
      <c r="B473" s="271">
        <v>800</v>
      </c>
      <c r="C473" s="252" t="s">
        <v>190</v>
      </c>
      <c r="D473" s="252" t="s">
        <v>194</v>
      </c>
      <c r="E473" s="260" t="s">
        <v>334</v>
      </c>
      <c r="F473" s="252" t="s">
        <v>100</v>
      </c>
      <c r="G473" s="257"/>
      <c r="H473" s="257"/>
      <c r="I473" s="257">
        <v>-53</v>
      </c>
      <c r="J473" s="257">
        <f t="shared" si="765"/>
        <v>-53</v>
      </c>
      <c r="K473" s="257">
        <v>-53</v>
      </c>
      <c r="L473" s="257">
        <f t="shared" si="766"/>
        <v>-53</v>
      </c>
      <c r="M473" s="257">
        <f t="shared" si="766"/>
        <v>-106</v>
      </c>
      <c r="N473" s="257">
        <f t="shared" si="766"/>
        <v>-106</v>
      </c>
      <c r="O473" s="257">
        <f t="shared" si="766"/>
        <v>-159</v>
      </c>
      <c r="P473" s="257">
        <f t="shared" si="766"/>
        <v>-159</v>
      </c>
      <c r="Q473" s="257">
        <f t="shared" si="766"/>
        <v>-265</v>
      </c>
      <c r="R473" s="257">
        <f t="shared" si="766"/>
        <v>-265</v>
      </c>
      <c r="S473" s="257">
        <f t="shared" si="767"/>
        <v>-424</v>
      </c>
      <c r="T473" s="257">
        <f t="shared" si="768"/>
        <v>-424</v>
      </c>
      <c r="U473" s="257">
        <f t="shared" si="769"/>
        <v>-689</v>
      </c>
      <c r="V473" s="257">
        <f t="shared" si="770"/>
        <v>-689</v>
      </c>
      <c r="W473" s="257">
        <f t="shared" si="771"/>
        <v>-1113</v>
      </c>
      <c r="X473" s="257">
        <f t="shared" si="772"/>
        <v>-1113</v>
      </c>
      <c r="Y473" s="257">
        <f t="shared" si="773"/>
        <v>-1802</v>
      </c>
      <c r="Z473" s="257">
        <f t="shared" si="774"/>
        <v>-1802</v>
      </c>
    </row>
    <row r="474" spans="1:26" ht="25.5" hidden="1" customHeight="1" x14ac:dyDescent="0.2">
      <c r="A474" s="259" t="s">
        <v>101</v>
      </c>
      <c r="B474" s="271">
        <v>800</v>
      </c>
      <c r="C474" s="252" t="s">
        <v>190</v>
      </c>
      <c r="D474" s="252" t="s">
        <v>194</v>
      </c>
      <c r="E474" s="260" t="s">
        <v>334</v>
      </c>
      <c r="F474" s="252" t="s">
        <v>102</v>
      </c>
      <c r="G474" s="257"/>
      <c r="H474" s="257"/>
      <c r="I474" s="257" t="e">
        <f>#REF!+G474</f>
        <v>#REF!</v>
      </c>
      <c r="J474" s="257" t="e">
        <f t="shared" si="765"/>
        <v>#REF!</v>
      </c>
      <c r="K474" s="257" t="e">
        <f>H474+I474</f>
        <v>#REF!</v>
      </c>
      <c r="L474" s="257" t="e">
        <f t="shared" si="766"/>
        <v>#REF!</v>
      </c>
      <c r="M474" s="257" t="e">
        <f t="shared" si="766"/>
        <v>#REF!</v>
      </c>
      <c r="N474" s="257" t="e">
        <f t="shared" si="766"/>
        <v>#REF!</v>
      </c>
      <c r="O474" s="257" t="e">
        <f t="shared" si="766"/>
        <v>#REF!</v>
      </c>
      <c r="P474" s="257" t="e">
        <f t="shared" si="766"/>
        <v>#REF!</v>
      </c>
      <c r="Q474" s="257" t="e">
        <f t="shared" si="766"/>
        <v>#REF!</v>
      </c>
      <c r="R474" s="257" t="e">
        <f t="shared" si="766"/>
        <v>#REF!</v>
      </c>
      <c r="S474" s="257" t="e">
        <f t="shared" si="767"/>
        <v>#REF!</v>
      </c>
      <c r="T474" s="257" t="e">
        <f t="shared" si="768"/>
        <v>#REF!</v>
      </c>
      <c r="U474" s="257" t="e">
        <f t="shared" si="769"/>
        <v>#REF!</v>
      </c>
      <c r="V474" s="257" t="e">
        <f t="shared" si="770"/>
        <v>#REF!</v>
      </c>
      <c r="W474" s="257" t="e">
        <f t="shared" si="771"/>
        <v>#REF!</v>
      </c>
      <c r="X474" s="257" t="e">
        <f t="shared" si="772"/>
        <v>#REF!</v>
      </c>
      <c r="Y474" s="257" t="e">
        <f t="shared" si="773"/>
        <v>#REF!</v>
      </c>
      <c r="Z474" s="257" t="e">
        <f t="shared" si="774"/>
        <v>#REF!</v>
      </c>
    </row>
    <row r="475" spans="1:26" ht="15" hidden="1" customHeight="1" x14ac:dyDescent="0.2">
      <c r="A475" s="259" t="s">
        <v>93</v>
      </c>
      <c r="B475" s="271">
        <v>800</v>
      </c>
      <c r="C475" s="252" t="s">
        <v>190</v>
      </c>
      <c r="D475" s="252" t="s">
        <v>194</v>
      </c>
      <c r="E475" s="260" t="s">
        <v>334</v>
      </c>
      <c r="F475" s="252" t="s">
        <v>94</v>
      </c>
      <c r="G475" s="257"/>
      <c r="H475" s="257"/>
      <c r="I475" s="257">
        <v>-450</v>
      </c>
      <c r="J475" s="257">
        <f t="shared" si="765"/>
        <v>-450</v>
      </c>
      <c r="K475" s="257">
        <v>-450</v>
      </c>
      <c r="L475" s="257">
        <f t="shared" si="766"/>
        <v>-450</v>
      </c>
      <c r="M475" s="257">
        <f t="shared" si="766"/>
        <v>-900</v>
      </c>
      <c r="N475" s="257">
        <f t="shared" si="766"/>
        <v>-900</v>
      </c>
      <c r="O475" s="257">
        <f t="shared" si="766"/>
        <v>-1350</v>
      </c>
      <c r="P475" s="257">
        <f t="shared" si="766"/>
        <v>-1350</v>
      </c>
      <c r="Q475" s="257">
        <f t="shared" si="766"/>
        <v>-2250</v>
      </c>
      <c r="R475" s="257">
        <f t="shared" si="766"/>
        <v>-2250</v>
      </c>
      <c r="S475" s="257">
        <f t="shared" si="767"/>
        <v>-3600</v>
      </c>
      <c r="T475" s="257">
        <f t="shared" si="768"/>
        <v>-3600</v>
      </c>
      <c r="U475" s="257">
        <f t="shared" si="769"/>
        <v>-5850</v>
      </c>
      <c r="V475" s="257">
        <f t="shared" si="770"/>
        <v>-5850</v>
      </c>
      <c r="W475" s="257">
        <f t="shared" si="771"/>
        <v>-9450</v>
      </c>
      <c r="X475" s="257">
        <f t="shared" si="772"/>
        <v>-9450</v>
      </c>
      <c r="Y475" s="257">
        <f t="shared" si="773"/>
        <v>-15300</v>
      </c>
      <c r="Z475" s="257">
        <f t="shared" si="774"/>
        <v>-15300</v>
      </c>
    </row>
    <row r="476" spans="1:26" ht="12.75" hidden="1" customHeight="1" x14ac:dyDescent="0.2">
      <c r="A476" s="259" t="s">
        <v>302</v>
      </c>
      <c r="B476" s="271">
        <v>800</v>
      </c>
      <c r="C476" s="252" t="s">
        <v>202</v>
      </c>
      <c r="D476" s="252" t="s">
        <v>212</v>
      </c>
      <c r="E476" s="260" t="s">
        <v>334</v>
      </c>
      <c r="F476" s="252" t="s">
        <v>303</v>
      </c>
      <c r="G476" s="257"/>
      <c r="H476" s="257"/>
      <c r="I476" s="257" t="e">
        <f>#REF!+G476</f>
        <v>#REF!</v>
      </c>
      <c r="J476" s="257" t="e">
        <f t="shared" si="765"/>
        <v>#REF!</v>
      </c>
      <c r="K476" s="257" t="e">
        <f>H476+I476</f>
        <v>#REF!</v>
      </c>
      <c r="L476" s="257" t="e">
        <f t="shared" si="766"/>
        <v>#REF!</v>
      </c>
      <c r="M476" s="257" t="e">
        <f t="shared" si="766"/>
        <v>#REF!</v>
      </c>
      <c r="N476" s="257" t="e">
        <f t="shared" si="766"/>
        <v>#REF!</v>
      </c>
      <c r="O476" s="257" t="e">
        <f t="shared" si="766"/>
        <v>#REF!</v>
      </c>
      <c r="P476" s="257" t="e">
        <f t="shared" si="766"/>
        <v>#REF!</v>
      </c>
      <c r="Q476" s="257" t="e">
        <f t="shared" si="766"/>
        <v>#REF!</v>
      </c>
      <c r="R476" s="257" t="e">
        <f t="shared" si="766"/>
        <v>#REF!</v>
      </c>
      <c r="S476" s="257" t="e">
        <f t="shared" si="767"/>
        <v>#REF!</v>
      </c>
      <c r="T476" s="257" t="e">
        <f t="shared" si="768"/>
        <v>#REF!</v>
      </c>
      <c r="U476" s="257" t="e">
        <f t="shared" si="769"/>
        <v>#REF!</v>
      </c>
      <c r="V476" s="257" t="e">
        <f t="shared" si="770"/>
        <v>#REF!</v>
      </c>
      <c r="W476" s="257" t="e">
        <f t="shared" si="771"/>
        <v>#REF!</v>
      </c>
      <c r="X476" s="257" t="e">
        <f t="shared" si="772"/>
        <v>#REF!</v>
      </c>
      <c r="Y476" s="257" t="e">
        <f t="shared" si="773"/>
        <v>#REF!</v>
      </c>
      <c r="Z476" s="257" t="e">
        <f t="shared" si="774"/>
        <v>#REF!</v>
      </c>
    </row>
    <row r="477" spans="1:26" ht="12.75" hidden="1" customHeight="1" x14ac:dyDescent="0.2">
      <c r="A477" s="259" t="s">
        <v>63</v>
      </c>
      <c r="B477" s="271">
        <v>800</v>
      </c>
      <c r="C477" s="252" t="s">
        <v>190</v>
      </c>
      <c r="D477" s="252" t="s">
        <v>194</v>
      </c>
      <c r="E477" s="260" t="s">
        <v>334</v>
      </c>
      <c r="F477" s="252" t="s">
        <v>64</v>
      </c>
      <c r="G477" s="257"/>
      <c r="H477" s="257"/>
      <c r="I477" s="257" t="e">
        <f>#REF!+G477</f>
        <v>#REF!</v>
      </c>
      <c r="J477" s="257" t="e">
        <f t="shared" si="765"/>
        <v>#REF!</v>
      </c>
      <c r="K477" s="257" t="e">
        <f>H477+I477</f>
        <v>#REF!</v>
      </c>
      <c r="L477" s="257" t="e">
        <f t="shared" si="766"/>
        <v>#REF!</v>
      </c>
      <c r="M477" s="257" t="e">
        <f t="shared" si="766"/>
        <v>#REF!</v>
      </c>
      <c r="N477" s="257" t="e">
        <f t="shared" si="766"/>
        <v>#REF!</v>
      </c>
      <c r="O477" s="257" t="e">
        <f t="shared" si="766"/>
        <v>#REF!</v>
      </c>
      <c r="P477" s="257" t="e">
        <f t="shared" si="766"/>
        <v>#REF!</v>
      </c>
      <c r="Q477" s="257" t="e">
        <f t="shared" si="766"/>
        <v>#REF!</v>
      </c>
      <c r="R477" s="257" t="e">
        <f t="shared" si="766"/>
        <v>#REF!</v>
      </c>
      <c r="S477" s="257" t="e">
        <f t="shared" si="767"/>
        <v>#REF!</v>
      </c>
      <c r="T477" s="257" t="e">
        <f t="shared" si="768"/>
        <v>#REF!</v>
      </c>
      <c r="U477" s="257" t="e">
        <f t="shared" si="769"/>
        <v>#REF!</v>
      </c>
      <c r="V477" s="257" t="e">
        <f t="shared" si="770"/>
        <v>#REF!</v>
      </c>
      <c r="W477" s="257" t="e">
        <f t="shared" si="771"/>
        <v>#REF!</v>
      </c>
      <c r="X477" s="257" t="e">
        <f t="shared" si="772"/>
        <v>#REF!</v>
      </c>
      <c r="Y477" s="257" t="e">
        <f t="shared" si="773"/>
        <v>#REF!</v>
      </c>
      <c r="Z477" s="257" t="e">
        <f t="shared" si="774"/>
        <v>#REF!</v>
      </c>
    </row>
    <row r="478" spans="1:26" hidden="1" x14ac:dyDescent="0.2">
      <c r="A478" s="259" t="s">
        <v>103</v>
      </c>
      <c r="B478" s="271">
        <v>800</v>
      </c>
      <c r="C478" s="252" t="s">
        <v>190</v>
      </c>
      <c r="D478" s="252" t="s">
        <v>194</v>
      </c>
      <c r="E478" s="260" t="s">
        <v>334</v>
      </c>
      <c r="F478" s="252" t="s">
        <v>104</v>
      </c>
      <c r="G478" s="257"/>
      <c r="H478" s="257"/>
      <c r="I478" s="257">
        <v>-17</v>
      </c>
      <c r="J478" s="257">
        <f t="shared" si="765"/>
        <v>-17</v>
      </c>
      <c r="K478" s="257">
        <v>-17</v>
      </c>
      <c r="L478" s="257">
        <f t="shared" si="766"/>
        <v>-17</v>
      </c>
      <c r="M478" s="257">
        <f t="shared" si="766"/>
        <v>-34</v>
      </c>
      <c r="N478" s="257">
        <f t="shared" si="766"/>
        <v>-34</v>
      </c>
      <c r="O478" s="257">
        <f t="shared" si="766"/>
        <v>-51</v>
      </c>
      <c r="P478" s="257">
        <f t="shared" si="766"/>
        <v>-51</v>
      </c>
      <c r="Q478" s="257">
        <f t="shared" si="766"/>
        <v>-85</v>
      </c>
      <c r="R478" s="257">
        <f t="shared" si="766"/>
        <v>-85</v>
      </c>
      <c r="S478" s="257">
        <f t="shared" si="767"/>
        <v>-136</v>
      </c>
      <c r="T478" s="257">
        <f t="shared" si="768"/>
        <v>-136</v>
      </c>
      <c r="U478" s="257">
        <f t="shared" si="769"/>
        <v>-221</v>
      </c>
      <c r="V478" s="257">
        <f t="shared" si="770"/>
        <v>-221</v>
      </c>
      <c r="W478" s="257">
        <f t="shared" si="771"/>
        <v>-357</v>
      </c>
      <c r="X478" s="257">
        <f t="shared" si="772"/>
        <v>-357</v>
      </c>
      <c r="Y478" s="257">
        <f t="shared" si="773"/>
        <v>-578</v>
      </c>
      <c r="Z478" s="257">
        <f t="shared" si="774"/>
        <v>-578</v>
      </c>
    </row>
    <row r="479" spans="1:26" ht="12.75" hidden="1" customHeight="1" x14ac:dyDescent="0.2">
      <c r="A479" s="259" t="s">
        <v>105</v>
      </c>
      <c r="B479" s="271">
        <v>800</v>
      </c>
      <c r="C479" s="252" t="s">
        <v>190</v>
      </c>
      <c r="D479" s="252" t="s">
        <v>194</v>
      </c>
      <c r="E479" s="260" t="s">
        <v>334</v>
      </c>
      <c r="F479" s="252" t="s">
        <v>106</v>
      </c>
      <c r="G479" s="257"/>
      <c r="H479" s="257"/>
      <c r="I479" s="257" t="e">
        <f>#REF!+G479</f>
        <v>#REF!</v>
      </c>
      <c r="J479" s="257" t="e">
        <f>#REF!+I479</f>
        <v>#REF!</v>
      </c>
      <c r="K479" s="257" t="e">
        <f>#REF!+I479</f>
        <v>#REF!</v>
      </c>
      <c r="L479" s="257" t="e">
        <f>F479+J479</f>
        <v>#REF!</v>
      </c>
      <c r="M479" s="257" t="e">
        <f>G479+K479</f>
        <v>#REF!</v>
      </c>
      <c r="N479" s="257" t="e">
        <f t="shared" ref="N479:O479" si="775">H479+L479</f>
        <v>#REF!</v>
      </c>
      <c r="O479" s="257" t="e">
        <f t="shared" si="775"/>
        <v>#REF!</v>
      </c>
      <c r="P479" s="257" t="e">
        <f>J479+N479</f>
        <v>#REF!</v>
      </c>
      <c r="Q479" s="257" t="e">
        <f t="shared" ref="Q479:R479" si="776">K479+O479</f>
        <v>#REF!</v>
      </c>
      <c r="R479" s="257" t="e">
        <f t="shared" si="776"/>
        <v>#REF!</v>
      </c>
      <c r="S479" s="257" t="e">
        <f t="shared" ref="S479" si="777">M479+Q479</f>
        <v>#REF!</v>
      </c>
      <c r="T479" s="257" t="e">
        <f t="shared" ref="T479" si="778">N479+R479</f>
        <v>#REF!</v>
      </c>
      <c r="U479" s="257" t="e">
        <f t="shared" ref="U479" si="779">O479+S479</f>
        <v>#REF!</v>
      </c>
      <c r="V479" s="257" t="e">
        <f t="shared" ref="V479" si="780">P479+T479</f>
        <v>#REF!</v>
      </c>
      <c r="W479" s="257" t="e">
        <f t="shared" ref="W479" si="781">Q479+U479</f>
        <v>#REF!</v>
      </c>
      <c r="X479" s="257" t="e">
        <f t="shared" ref="X479" si="782">R479+V479</f>
        <v>#REF!</v>
      </c>
      <c r="Y479" s="257" t="e">
        <f t="shared" ref="Y479" si="783">S479+W479</f>
        <v>#REF!</v>
      </c>
      <c r="Z479" s="257" t="e">
        <f t="shared" ref="Z479" si="784">T479+X479</f>
        <v>#REF!</v>
      </c>
    </row>
    <row r="480" spans="1:26" hidden="1" x14ac:dyDescent="0.2">
      <c r="A480" s="259" t="s">
        <v>309</v>
      </c>
      <c r="B480" s="271">
        <v>800</v>
      </c>
      <c r="C480" s="252" t="s">
        <v>190</v>
      </c>
      <c r="D480" s="252" t="s">
        <v>194</v>
      </c>
      <c r="E480" s="260" t="s">
        <v>310</v>
      </c>
      <c r="F480" s="252"/>
      <c r="G480" s="257"/>
      <c r="H480" s="257"/>
      <c r="I480" s="257">
        <f>I481</f>
        <v>-1321.6</v>
      </c>
      <c r="J480" s="257">
        <f>J481</f>
        <v>-1321.6</v>
      </c>
      <c r="K480" s="257">
        <f>K481</f>
        <v>-1321.6</v>
      </c>
      <c r="L480" s="257">
        <f>L481</f>
        <v>-1321.6</v>
      </c>
      <c r="M480" s="257">
        <f>M481</f>
        <v>-2643.2</v>
      </c>
      <c r="N480" s="257">
        <f t="shared" ref="N480:Z480" si="785">N481</f>
        <v>-2643.2</v>
      </c>
      <c r="O480" s="257">
        <f t="shared" si="785"/>
        <v>-3964.7999999999997</v>
      </c>
      <c r="P480" s="257">
        <f t="shared" si="785"/>
        <v>-3964.7999999999997</v>
      </c>
      <c r="Q480" s="257">
        <f t="shared" si="785"/>
        <v>-6608</v>
      </c>
      <c r="R480" s="257">
        <f t="shared" si="785"/>
        <v>-6608</v>
      </c>
      <c r="S480" s="257">
        <f t="shared" si="785"/>
        <v>-10572.8</v>
      </c>
      <c r="T480" s="257">
        <f t="shared" si="785"/>
        <v>-10572.8</v>
      </c>
      <c r="U480" s="257">
        <f t="shared" si="785"/>
        <v>-17180.8</v>
      </c>
      <c r="V480" s="257">
        <f t="shared" si="785"/>
        <v>-17180.8</v>
      </c>
      <c r="W480" s="257">
        <f t="shared" si="785"/>
        <v>-27753.599999999999</v>
      </c>
      <c r="X480" s="257">
        <f t="shared" si="785"/>
        <v>-27753.599999999999</v>
      </c>
      <c r="Y480" s="257">
        <f t="shared" si="785"/>
        <v>-44934.399999999994</v>
      </c>
      <c r="Z480" s="257">
        <f t="shared" si="785"/>
        <v>-44934.399999999994</v>
      </c>
    </row>
    <row r="481" spans="1:26" hidden="1" x14ac:dyDescent="0.2">
      <c r="A481" s="259" t="s">
        <v>95</v>
      </c>
      <c r="B481" s="271">
        <v>800</v>
      </c>
      <c r="C481" s="252" t="s">
        <v>190</v>
      </c>
      <c r="D481" s="252" t="s">
        <v>194</v>
      </c>
      <c r="E481" s="260" t="s">
        <v>310</v>
      </c>
      <c r="F481" s="252" t="s">
        <v>96</v>
      </c>
      <c r="G481" s="257"/>
      <c r="H481" s="257"/>
      <c r="I481" s="257">
        <v>-1321.6</v>
      </c>
      <c r="J481" s="257">
        <f>G481+I481</f>
        <v>-1321.6</v>
      </c>
      <c r="K481" s="257">
        <v>-1321.6</v>
      </c>
      <c r="L481" s="257">
        <f>H481+J481</f>
        <v>-1321.6</v>
      </c>
      <c r="M481" s="257">
        <f>I481+K481</f>
        <v>-2643.2</v>
      </c>
      <c r="N481" s="257">
        <f t="shared" ref="N481:O481" si="786">J481+L481</f>
        <v>-2643.2</v>
      </c>
      <c r="O481" s="257">
        <f t="shared" si="786"/>
        <v>-3964.7999999999997</v>
      </c>
      <c r="P481" s="257">
        <f>L481+N481</f>
        <v>-3964.7999999999997</v>
      </c>
      <c r="Q481" s="257">
        <f t="shared" ref="Q481:R481" si="787">M481+O481</f>
        <v>-6608</v>
      </c>
      <c r="R481" s="257">
        <f t="shared" si="787"/>
        <v>-6608</v>
      </c>
      <c r="S481" s="257">
        <f t="shared" ref="S481" si="788">O481+Q481</f>
        <v>-10572.8</v>
      </c>
      <c r="T481" s="257">
        <f t="shared" ref="T481" si="789">P481+R481</f>
        <v>-10572.8</v>
      </c>
      <c r="U481" s="257">
        <f t="shared" ref="U481" si="790">Q481+S481</f>
        <v>-17180.8</v>
      </c>
      <c r="V481" s="257">
        <f t="shared" ref="V481" si="791">R481+T481</f>
        <v>-17180.8</v>
      </c>
      <c r="W481" s="257">
        <f t="shared" ref="W481" si="792">S481+U481</f>
        <v>-27753.599999999999</v>
      </c>
      <c r="X481" s="257">
        <f t="shared" ref="X481" si="793">T481+V481</f>
        <v>-27753.599999999999</v>
      </c>
      <c r="Y481" s="257">
        <f t="shared" ref="Y481" si="794">U481+W481</f>
        <v>-44934.399999999994</v>
      </c>
      <c r="Z481" s="257">
        <f t="shared" ref="Z481" si="795">V481+X481</f>
        <v>-44934.399999999994</v>
      </c>
    </row>
    <row r="482" spans="1:26" ht="29.25" hidden="1" customHeight="1" x14ac:dyDescent="0.2">
      <c r="A482" s="259" t="s">
        <v>452</v>
      </c>
      <c r="B482" s="271">
        <v>800</v>
      </c>
      <c r="C482" s="252" t="s">
        <v>190</v>
      </c>
      <c r="D482" s="252" t="s">
        <v>194</v>
      </c>
      <c r="E482" s="260" t="s">
        <v>450</v>
      </c>
      <c r="F482" s="252"/>
      <c r="G482" s="257">
        <f t="shared" ref="G482:R482" si="796">G483+G485</f>
        <v>0</v>
      </c>
      <c r="H482" s="257"/>
      <c r="I482" s="257">
        <f t="shared" si="796"/>
        <v>-3138.3999999999996</v>
      </c>
      <c r="J482" s="257" t="e">
        <f t="shared" si="796"/>
        <v>#REF!</v>
      </c>
      <c r="K482" s="257">
        <f t="shared" si="796"/>
        <v>-3138.3999999999996</v>
      </c>
      <c r="L482" s="257" t="e">
        <f>L483+L485</f>
        <v>#REF!</v>
      </c>
      <c r="M482" s="257" t="e">
        <f t="shared" si="796"/>
        <v>#REF!</v>
      </c>
      <c r="N482" s="257" t="e">
        <f t="shared" si="796"/>
        <v>#REF!</v>
      </c>
      <c r="O482" s="257" t="e">
        <f t="shared" si="796"/>
        <v>#REF!</v>
      </c>
      <c r="P482" s="257" t="e">
        <f t="shared" si="796"/>
        <v>#REF!</v>
      </c>
      <c r="Q482" s="257" t="e">
        <f t="shared" si="796"/>
        <v>#REF!</v>
      </c>
      <c r="R482" s="257" t="e">
        <f t="shared" si="796"/>
        <v>#REF!</v>
      </c>
      <c r="S482" s="257" t="e">
        <f t="shared" ref="S482:T482" si="797">S483+S485</f>
        <v>#REF!</v>
      </c>
      <c r="T482" s="257" t="e">
        <f t="shared" si="797"/>
        <v>#REF!</v>
      </c>
      <c r="U482" s="257" t="e">
        <f t="shared" ref="U482:V482" si="798">U483+U485</f>
        <v>#REF!</v>
      </c>
      <c r="V482" s="257" t="e">
        <f t="shared" si="798"/>
        <v>#REF!</v>
      </c>
      <c r="W482" s="257" t="e">
        <f t="shared" ref="W482:X482" si="799">W483+W485</f>
        <v>#REF!</v>
      </c>
      <c r="X482" s="257" t="e">
        <f t="shared" si="799"/>
        <v>#REF!</v>
      </c>
      <c r="Y482" s="257" t="e">
        <f t="shared" ref="Y482:Z482" si="800">Y483+Y485</f>
        <v>#REF!</v>
      </c>
      <c r="Z482" s="257" t="e">
        <f t="shared" si="800"/>
        <v>#REF!</v>
      </c>
    </row>
    <row r="483" spans="1:26" ht="18.75" hidden="1" customHeight="1" x14ac:dyDescent="0.2">
      <c r="A483" s="259" t="s">
        <v>451</v>
      </c>
      <c r="B483" s="271">
        <v>800</v>
      </c>
      <c r="C483" s="252" t="s">
        <v>190</v>
      </c>
      <c r="D483" s="252" t="s">
        <v>194</v>
      </c>
      <c r="E483" s="260" t="s">
        <v>485</v>
      </c>
      <c r="F483" s="252"/>
      <c r="G483" s="257"/>
      <c r="H483" s="257"/>
      <c r="I483" s="257">
        <f>I484</f>
        <v>-1512.8</v>
      </c>
      <c r="J483" s="257" t="e">
        <f>J484</f>
        <v>#REF!</v>
      </c>
      <c r="K483" s="257">
        <f>K484</f>
        <v>-1512.8</v>
      </c>
      <c r="L483" s="257" t="e">
        <f>L484</f>
        <v>#REF!</v>
      </c>
      <c r="M483" s="257" t="e">
        <f>M484</f>
        <v>#REF!</v>
      </c>
      <c r="N483" s="257" t="e">
        <f t="shared" ref="N483:Z483" si="801">N484</f>
        <v>#REF!</v>
      </c>
      <c r="O483" s="257" t="e">
        <f t="shared" si="801"/>
        <v>#REF!</v>
      </c>
      <c r="P483" s="257" t="e">
        <f t="shared" si="801"/>
        <v>#REF!</v>
      </c>
      <c r="Q483" s="257" t="e">
        <f t="shared" si="801"/>
        <v>#REF!</v>
      </c>
      <c r="R483" s="257" t="e">
        <f t="shared" si="801"/>
        <v>#REF!</v>
      </c>
      <c r="S483" s="257" t="e">
        <f t="shared" si="801"/>
        <v>#REF!</v>
      </c>
      <c r="T483" s="257" t="e">
        <f t="shared" si="801"/>
        <v>#REF!</v>
      </c>
      <c r="U483" s="257" t="e">
        <f t="shared" si="801"/>
        <v>#REF!</v>
      </c>
      <c r="V483" s="257" t="e">
        <f t="shared" si="801"/>
        <v>#REF!</v>
      </c>
      <c r="W483" s="257" t="e">
        <f t="shared" si="801"/>
        <v>#REF!</v>
      </c>
      <c r="X483" s="257" t="e">
        <f t="shared" si="801"/>
        <v>#REF!</v>
      </c>
      <c r="Y483" s="257" t="e">
        <f t="shared" si="801"/>
        <v>#REF!</v>
      </c>
      <c r="Z483" s="257" t="e">
        <f t="shared" si="801"/>
        <v>#REF!</v>
      </c>
    </row>
    <row r="484" spans="1:26" ht="15.75" hidden="1" customHeight="1" x14ac:dyDescent="0.2">
      <c r="A484" s="259" t="s">
        <v>95</v>
      </c>
      <c r="B484" s="271">
        <v>800</v>
      </c>
      <c r="C484" s="252" t="s">
        <v>190</v>
      </c>
      <c r="D484" s="252" t="s">
        <v>194</v>
      </c>
      <c r="E484" s="260" t="s">
        <v>485</v>
      </c>
      <c r="F484" s="252" t="s">
        <v>96</v>
      </c>
      <c r="G484" s="257"/>
      <c r="H484" s="257"/>
      <c r="I484" s="257">
        <v>-1512.8</v>
      </c>
      <c r="J484" s="257" t="e">
        <f>#REF!+I484</f>
        <v>#REF!</v>
      </c>
      <c r="K484" s="257">
        <v>-1512.8</v>
      </c>
      <c r="L484" s="257" t="e">
        <f>#REF!+J484</f>
        <v>#REF!</v>
      </c>
      <c r="M484" s="257" t="e">
        <f>#REF!+K484</f>
        <v>#REF!</v>
      </c>
      <c r="N484" s="257" t="e">
        <f>#REF!+L484</f>
        <v>#REF!</v>
      </c>
      <c r="O484" s="257" t="e">
        <f>#REF!+M484</f>
        <v>#REF!</v>
      </c>
      <c r="P484" s="257" t="e">
        <f>#REF!+N484</f>
        <v>#REF!</v>
      </c>
      <c r="Q484" s="257" t="e">
        <f>#REF!+O484</f>
        <v>#REF!</v>
      </c>
      <c r="R484" s="257" t="e">
        <f>#REF!+P484</f>
        <v>#REF!</v>
      </c>
      <c r="S484" s="257" t="e">
        <f>#REF!+Q484</f>
        <v>#REF!</v>
      </c>
      <c r="T484" s="257" t="e">
        <f>#REF!+R484</f>
        <v>#REF!</v>
      </c>
      <c r="U484" s="257" t="e">
        <f>#REF!+S484</f>
        <v>#REF!</v>
      </c>
      <c r="V484" s="257" t="e">
        <f>#REF!+T484</f>
        <v>#REF!</v>
      </c>
      <c r="W484" s="257" t="e">
        <f>#REF!+U484</f>
        <v>#REF!</v>
      </c>
      <c r="X484" s="257" t="e">
        <f>#REF!+V484</f>
        <v>#REF!</v>
      </c>
      <c r="Y484" s="257" t="e">
        <f>#REF!+W484</f>
        <v>#REF!</v>
      </c>
      <c r="Z484" s="257" t="e">
        <f>#REF!+X484</f>
        <v>#REF!</v>
      </c>
    </row>
    <row r="485" spans="1:26" ht="27.75" hidden="1" customHeight="1" x14ac:dyDescent="0.2">
      <c r="A485" s="259" t="s">
        <v>736</v>
      </c>
      <c r="B485" s="271">
        <v>800</v>
      </c>
      <c r="C485" s="252" t="s">
        <v>190</v>
      </c>
      <c r="D485" s="252" t="s">
        <v>194</v>
      </c>
      <c r="E485" s="260" t="s">
        <v>486</v>
      </c>
      <c r="F485" s="252"/>
      <c r="G485" s="257"/>
      <c r="H485" s="257"/>
      <c r="I485" s="257">
        <f>I486+I487+I488+I489+I490</f>
        <v>-1625.6</v>
      </c>
      <c r="J485" s="257" t="e">
        <f>J486+J487+J488+J489+J490</f>
        <v>#REF!</v>
      </c>
      <c r="K485" s="257">
        <f>K486+K487+K488+K489+K490</f>
        <v>-1625.6</v>
      </c>
      <c r="L485" s="257" t="e">
        <f>L486+L487+L488+L489+L490</f>
        <v>#REF!</v>
      </c>
      <c r="M485" s="257" t="e">
        <f>M486+M487+M488+M489+M490</f>
        <v>#REF!</v>
      </c>
      <c r="N485" s="257" t="e">
        <f t="shared" ref="N485:R485" si="802">N486+N487+N488+N489+N490</f>
        <v>#REF!</v>
      </c>
      <c r="O485" s="257" t="e">
        <f t="shared" si="802"/>
        <v>#REF!</v>
      </c>
      <c r="P485" s="257" t="e">
        <f t="shared" si="802"/>
        <v>#REF!</v>
      </c>
      <c r="Q485" s="257" t="e">
        <f t="shared" si="802"/>
        <v>#REF!</v>
      </c>
      <c r="R485" s="257" t="e">
        <f t="shared" si="802"/>
        <v>#REF!</v>
      </c>
      <c r="S485" s="257" t="e">
        <f t="shared" ref="S485:T485" si="803">S486+S487+S488+S489+S490</f>
        <v>#REF!</v>
      </c>
      <c r="T485" s="257" t="e">
        <f t="shared" si="803"/>
        <v>#REF!</v>
      </c>
      <c r="U485" s="257" t="e">
        <f t="shared" ref="U485:V485" si="804">U486+U487+U488+U489+U490</f>
        <v>#REF!</v>
      </c>
      <c r="V485" s="257" t="e">
        <f t="shared" si="804"/>
        <v>#REF!</v>
      </c>
      <c r="W485" s="257" t="e">
        <f t="shared" ref="W485:X485" si="805">W486+W487+W488+W489+W490</f>
        <v>#REF!</v>
      </c>
      <c r="X485" s="257" t="e">
        <f t="shared" si="805"/>
        <v>#REF!</v>
      </c>
      <c r="Y485" s="257" t="e">
        <f t="shared" ref="Y485:Z485" si="806">Y486+Y487+Y488+Y489+Y490</f>
        <v>#REF!</v>
      </c>
      <c r="Z485" s="257" t="e">
        <f t="shared" si="806"/>
        <v>#REF!</v>
      </c>
    </row>
    <row r="486" spans="1:26" ht="13.5" hidden="1" customHeight="1" x14ac:dyDescent="0.2">
      <c r="A486" s="259" t="s">
        <v>95</v>
      </c>
      <c r="B486" s="271">
        <v>800</v>
      </c>
      <c r="C486" s="252" t="s">
        <v>190</v>
      </c>
      <c r="D486" s="252" t="s">
        <v>194</v>
      </c>
      <c r="E486" s="260" t="s">
        <v>486</v>
      </c>
      <c r="F486" s="252" t="s">
        <v>96</v>
      </c>
      <c r="G486" s="257"/>
      <c r="H486" s="257"/>
      <c r="I486" s="257">
        <v>-1288.5999999999999</v>
      </c>
      <c r="J486" s="257" t="e">
        <f>#REF!+I486</f>
        <v>#REF!</v>
      </c>
      <c r="K486" s="257">
        <v>-1288.5999999999999</v>
      </c>
      <c r="L486" s="257" t="e">
        <f>#REF!+J486</f>
        <v>#REF!</v>
      </c>
      <c r="M486" s="257" t="e">
        <f>#REF!+K486</f>
        <v>#REF!</v>
      </c>
      <c r="N486" s="257" t="e">
        <f>#REF!+L486</f>
        <v>#REF!</v>
      </c>
      <c r="O486" s="257" t="e">
        <f>#REF!+M486</f>
        <v>#REF!</v>
      </c>
      <c r="P486" s="257" t="e">
        <f>#REF!+N486</f>
        <v>#REF!</v>
      </c>
      <c r="Q486" s="257" t="e">
        <f>#REF!+O486</f>
        <v>#REF!</v>
      </c>
      <c r="R486" s="257" t="e">
        <f>#REF!+P486</f>
        <v>#REF!</v>
      </c>
      <c r="S486" s="257" t="e">
        <f>#REF!+Q486</f>
        <v>#REF!</v>
      </c>
      <c r="T486" s="257" t="e">
        <f>#REF!+R486</f>
        <v>#REF!</v>
      </c>
      <c r="U486" s="257" t="e">
        <f>#REF!+S486</f>
        <v>#REF!</v>
      </c>
      <c r="V486" s="257" t="e">
        <f>#REF!+T486</f>
        <v>#REF!</v>
      </c>
      <c r="W486" s="257" t="e">
        <f>#REF!+U486</f>
        <v>#REF!</v>
      </c>
      <c r="X486" s="257" t="e">
        <f>#REF!+V486</f>
        <v>#REF!</v>
      </c>
      <c r="Y486" s="257" t="e">
        <f>#REF!+W486</f>
        <v>#REF!</v>
      </c>
      <c r="Z486" s="257" t="e">
        <f>#REF!+X486</f>
        <v>#REF!</v>
      </c>
    </row>
    <row r="487" spans="1:26" ht="13.5" hidden="1" customHeight="1" x14ac:dyDescent="0.2">
      <c r="A487" s="259" t="s">
        <v>97</v>
      </c>
      <c r="B487" s="271">
        <v>800</v>
      </c>
      <c r="C487" s="252" t="s">
        <v>190</v>
      </c>
      <c r="D487" s="252" t="s">
        <v>194</v>
      </c>
      <c r="E487" s="260" t="s">
        <v>486</v>
      </c>
      <c r="F487" s="271" t="s">
        <v>98</v>
      </c>
      <c r="G487" s="257"/>
      <c r="H487" s="257"/>
      <c r="I487" s="257">
        <v>-35</v>
      </c>
      <c r="J487" s="257" t="e">
        <f>#REF!+I487</f>
        <v>#REF!</v>
      </c>
      <c r="K487" s="257">
        <v>-35</v>
      </c>
      <c r="L487" s="257" t="e">
        <f>#REF!+J487</f>
        <v>#REF!</v>
      </c>
      <c r="M487" s="257" t="e">
        <f>#REF!+K487</f>
        <v>#REF!</v>
      </c>
      <c r="N487" s="257" t="e">
        <f>#REF!+L487</f>
        <v>#REF!</v>
      </c>
      <c r="O487" s="257" t="e">
        <f>#REF!+M487</f>
        <v>#REF!</v>
      </c>
      <c r="P487" s="257" t="e">
        <f>#REF!+N487</f>
        <v>#REF!</v>
      </c>
      <c r="Q487" s="257" t="e">
        <f>#REF!+O487</f>
        <v>#REF!</v>
      </c>
      <c r="R487" s="257" t="e">
        <f>#REF!+P487</f>
        <v>#REF!</v>
      </c>
      <c r="S487" s="257" t="e">
        <f>#REF!+Q487</f>
        <v>#REF!</v>
      </c>
      <c r="T487" s="257" t="e">
        <f>#REF!+R487</f>
        <v>#REF!</v>
      </c>
      <c r="U487" s="257" t="e">
        <f>#REF!+S487</f>
        <v>#REF!</v>
      </c>
      <c r="V487" s="257" t="e">
        <f>#REF!+T487</f>
        <v>#REF!</v>
      </c>
      <c r="W487" s="257" t="e">
        <f>#REF!+U487</f>
        <v>#REF!</v>
      </c>
      <c r="X487" s="257" t="e">
        <f>#REF!+V487</f>
        <v>#REF!</v>
      </c>
      <c r="Y487" s="257" t="e">
        <f>#REF!+W487</f>
        <v>#REF!</v>
      </c>
      <c r="Z487" s="257" t="e">
        <f>#REF!+X487</f>
        <v>#REF!</v>
      </c>
    </row>
    <row r="488" spans="1:26" ht="28.5" hidden="1" customHeight="1" x14ac:dyDescent="0.2">
      <c r="A488" s="259" t="s">
        <v>99</v>
      </c>
      <c r="B488" s="271">
        <v>800</v>
      </c>
      <c r="C488" s="252" t="s">
        <v>190</v>
      </c>
      <c r="D488" s="252" t="s">
        <v>194</v>
      </c>
      <c r="E488" s="260" t="s">
        <v>486</v>
      </c>
      <c r="F488" s="252" t="s">
        <v>100</v>
      </c>
      <c r="G488" s="257"/>
      <c r="H488" s="257"/>
      <c r="I488" s="257">
        <v>-85</v>
      </c>
      <c r="J488" s="257" t="e">
        <f>#REF!+I488</f>
        <v>#REF!</v>
      </c>
      <c r="K488" s="257">
        <v>-85</v>
      </c>
      <c r="L488" s="257" t="e">
        <f>#REF!+J488</f>
        <v>#REF!</v>
      </c>
      <c r="M488" s="257" t="e">
        <f>#REF!+K488</f>
        <v>#REF!</v>
      </c>
      <c r="N488" s="257" t="e">
        <f>#REF!+L488</f>
        <v>#REF!</v>
      </c>
      <c r="O488" s="257" t="e">
        <f>#REF!+M488</f>
        <v>#REF!</v>
      </c>
      <c r="P488" s="257" t="e">
        <f>#REF!+N488</f>
        <v>#REF!</v>
      </c>
      <c r="Q488" s="257" t="e">
        <f>#REF!+O488</f>
        <v>#REF!</v>
      </c>
      <c r="R488" s="257" t="e">
        <f>#REF!+P488</f>
        <v>#REF!</v>
      </c>
      <c r="S488" s="257" t="e">
        <f>#REF!+Q488</f>
        <v>#REF!</v>
      </c>
      <c r="T488" s="257" t="e">
        <f>#REF!+R488</f>
        <v>#REF!</v>
      </c>
      <c r="U488" s="257" t="e">
        <f>#REF!+S488</f>
        <v>#REF!</v>
      </c>
      <c r="V488" s="257" t="e">
        <f>#REF!+T488</f>
        <v>#REF!</v>
      </c>
      <c r="W488" s="257" t="e">
        <f>#REF!+U488</f>
        <v>#REF!</v>
      </c>
      <c r="X488" s="257" t="e">
        <f>#REF!+V488</f>
        <v>#REF!</v>
      </c>
      <c r="Y488" s="257" t="e">
        <f>#REF!+W488</f>
        <v>#REF!</v>
      </c>
      <c r="Z488" s="257" t="e">
        <f>#REF!+X488</f>
        <v>#REF!</v>
      </c>
    </row>
    <row r="489" spans="1:26" ht="23.25" hidden="1" customHeight="1" x14ac:dyDescent="0.2">
      <c r="A489" s="259" t="s">
        <v>93</v>
      </c>
      <c r="B489" s="271">
        <v>800</v>
      </c>
      <c r="C489" s="252" t="s">
        <v>190</v>
      </c>
      <c r="D489" s="252" t="s">
        <v>194</v>
      </c>
      <c r="E489" s="260" t="s">
        <v>486</v>
      </c>
      <c r="F489" s="252" t="s">
        <v>94</v>
      </c>
      <c r="G489" s="257"/>
      <c r="H489" s="257"/>
      <c r="I489" s="257">
        <v>-200</v>
      </c>
      <c r="J489" s="257" t="e">
        <f>#REF!+I489</f>
        <v>#REF!</v>
      </c>
      <c r="K489" s="257">
        <v>-200</v>
      </c>
      <c r="L489" s="257" t="e">
        <f>#REF!+J489</f>
        <v>#REF!</v>
      </c>
      <c r="M489" s="257" t="e">
        <f>#REF!+K489</f>
        <v>#REF!</v>
      </c>
      <c r="N489" s="257" t="e">
        <f>#REF!+L489</f>
        <v>#REF!</v>
      </c>
      <c r="O489" s="257" t="e">
        <f>#REF!+M489</f>
        <v>#REF!</v>
      </c>
      <c r="P489" s="257" t="e">
        <f>#REF!+N489</f>
        <v>#REF!</v>
      </c>
      <c r="Q489" s="257" t="e">
        <f>#REF!+O489</f>
        <v>#REF!</v>
      </c>
      <c r="R489" s="257" t="e">
        <f>#REF!+P489</f>
        <v>#REF!</v>
      </c>
      <c r="S489" s="257" t="e">
        <f>#REF!+Q489</f>
        <v>#REF!</v>
      </c>
      <c r="T489" s="257" t="e">
        <f>#REF!+R489</f>
        <v>#REF!</v>
      </c>
      <c r="U489" s="257" t="e">
        <f>#REF!+S489</f>
        <v>#REF!</v>
      </c>
      <c r="V489" s="257" t="e">
        <f>#REF!+T489</f>
        <v>#REF!</v>
      </c>
      <c r="W489" s="257" t="e">
        <f>#REF!+U489</f>
        <v>#REF!</v>
      </c>
      <c r="X489" s="257" t="e">
        <f>#REF!+V489</f>
        <v>#REF!</v>
      </c>
      <c r="Y489" s="257" t="e">
        <f>#REF!+W489</f>
        <v>#REF!</v>
      </c>
      <c r="Z489" s="257" t="e">
        <f>#REF!+X489</f>
        <v>#REF!</v>
      </c>
    </row>
    <row r="490" spans="1:26" ht="18.75" hidden="1" customHeight="1" x14ac:dyDescent="0.2">
      <c r="A490" s="259" t="s">
        <v>103</v>
      </c>
      <c r="B490" s="252">
        <v>800</v>
      </c>
      <c r="C490" s="252" t="s">
        <v>190</v>
      </c>
      <c r="D490" s="252" t="s">
        <v>194</v>
      </c>
      <c r="E490" s="252" t="s">
        <v>486</v>
      </c>
      <c r="F490" s="252" t="s">
        <v>104</v>
      </c>
      <c r="G490" s="257"/>
      <c r="H490" s="257"/>
      <c r="I490" s="257">
        <v>-17</v>
      </c>
      <c r="J490" s="257" t="e">
        <f>#REF!+I490</f>
        <v>#REF!</v>
      </c>
      <c r="K490" s="257">
        <v>-17</v>
      </c>
      <c r="L490" s="257" t="e">
        <f>#REF!+J490</f>
        <v>#REF!</v>
      </c>
      <c r="M490" s="257" t="e">
        <f>#REF!+K490</f>
        <v>#REF!</v>
      </c>
      <c r="N490" s="257" t="e">
        <f>#REF!+L490</f>
        <v>#REF!</v>
      </c>
      <c r="O490" s="257" t="e">
        <f>#REF!+M490</f>
        <v>#REF!</v>
      </c>
      <c r="P490" s="257" t="e">
        <f>#REF!+N490</f>
        <v>#REF!</v>
      </c>
      <c r="Q490" s="257" t="e">
        <f>#REF!+O490</f>
        <v>#REF!</v>
      </c>
      <c r="R490" s="257" t="e">
        <f>#REF!+P490</f>
        <v>#REF!</v>
      </c>
      <c r="S490" s="257" t="e">
        <f>#REF!+Q490</f>
        <v>#REF!</v>
      </c>
      <c r="T490" s="257" t="e">
        <f>#REF!+R490</f>
        <v>#REF!</v>
      </c>
      <c r="U490" s="257" t="e">
        <f>#REF!+S490</f>
        <v>#REF!</v>
      </c>
      <c r="V490" s="257" t="e">
        <f>#REF!+T490</f>
        <v>#REF!</v>
      </c>
      <c r="W490" s="257" t="e">
        <f>#REF!+U490</f>
        <v>#REF!</v>
      </c>
      <c r="X490" s="257" t="e">
        <f>#REF!+V490</f>
        <v>#REF!</v>
      </c>
      <c r="Y490" s="257" t="e">
        <f>#REF!+W490</f>
        <v>#REF!</v>
      </c>
      <c r="Z490" s="257" t="e">
        <f>#REF!+X490</f>
        <v>#REF!</v>
      </c>
    </row>
    <row r="491" spans="1:26" ht="19.5" customHeight="1" x14ac:dyDescent="0.2">
      <c r="A491" s="259" t="s">
        <v>452</v>
      </c>
      <c r="B491" s="252">
        <v>800</v>
      </c>
      <c r="C491" s="252" t="s">
        <v>190</v>
      </c>
      <c r="D491" s="252" t="s">
        <v>194</v>
      </c>
      <c r="E491" s="252" t="s">
        <v>866</v>
      </c>
      <c r="F491" s="252"/>
      <c r="G491" s="262">
        <f>G492+G495</f>
        <v>0</v>
      </c>
      <c r="H491" s="262">
        <f t="shared" ref="H491:Z491" si="807">H492</f>
        <v>1495</v>
      </c>
      <c r="I491" s="262">
        <f t="shared" si="807"/>
        <v>0</v>
      </c>
      <c r="J491" s="262">
        <f t="shared" si="807"/>
        <v>1495</v>
      </c>
      <c r="K491" s="262">
        <f t="shared" si="807"/>
        <v>0</v>
      </c>
      <c r="L491" s="262">
        <f t="shared" si="807"/>
        <v>1502</v>
      </c>
      <c r="M491" s="262">
        <f t="shared" si="807"/>
        <v>1502</v>
      </c>
      <c r="N491" s="262">
        <f t="shared" si="807"/>
        <v>0</v>
      </c>
      <c r="O491" s="262">
        <f t="shared" si="807"/>
        <v>1502</v>
      </c>
      <c r="P491" s="262">
        <f t="shared" si="807"/>
        <v>1502</v>
      </c>
      <c r="Q491" s="262">
        <f t="shared" si="807"/>
        <v>0</v>
      </c>
      <c r="R491" s="262">
        <f t="shared" si="807"/>
        <v>1502</v>
      </c>
      <c r="S491" s="262">
        <f t="shared" si="807"/>
        <v>407.5</v>
      </c>
      <c r="T491" s="262">
        <f t="shared" si="807"/>
        <v>1934</v>
      </c>
      <c r="U491" s="262">
        <f t="shared" si="807"/>
        <v>50</v>
      </c>
      <c r="V491" s="262">
        <f t="shared" si="807"/>
        <v>1934</v>
      </c>
      <c r="W491" s="262">
        <f t="shared" si="807"/>
        <v>56</v>
      </c>
      <c r="X491" s="262">
        <f t="shared" si="807"/>
        <v>1990</v>
      </c>
      <c r="Y491" s="262">
        <f t="shared" si="807"/>
        <v>191</v>
      </c>
      <c r="Z491" s="262">
        <f t="shared" si="807"/>
        <v>2181</v>
      </c>
    </row>
    <row r="492" spans="1:26" ht="18.75" customHeight="1" x14ac:dyDescent="0.2">
      <c r="A492" s="259" t="s">
        <v>451</v>
      </c>
      <c r="B492" s="252">
        <v>800</v>
      </c>
      <c r="C492" s="252" t="s">
        <v>190</v>
      </c>
      <c r="D492" s="252" t="s">
        <v>194</v>
      </c>
      <c r="E492" s="252" t="s">
        <v>895</v>
      </c>
      <c r="F492" s="252"/>
      <c r="G492" s="257"/>
      <c r="H492" s="257">
        <f>H493+H494</f>
        <v>1495</v>
      </c>
      <c r="I492" s="257">
        <f>I493+I494</f>
        <v>0</v>
      </c>
      <c r="J492" s="257">
        <f>H492+I492</f>
        <v>1495</v>
      </c>
      <c r="K492" s="257">
        <f>K493+K494</f>
        <v>0</v>
      </c>
      <c r="L492" s="257">
        <f>L493+L494</f>
        <v>1502</v>
      </c>
      <c r="M492" s="257">
        <f>M493+M494</f>
        <v>1502</v>
      </c>
      <c r="N492" s="257">
        <f t="shared" ref="N492:R492" si="808">N493+N494</f>
        <v>0</v>
      </c>
      <c r="O492" s="257">
        <f t="shared" si="808"/>
        <v>1502</v>
      </c>
      <c r="P492" s="257">
        <f t="shared" si="808"/>
        <v>1502</v>
      </c>
      <c r="Q492" s="257">
        <f t="shared" si="808"/>
        <v>0</v>
      </c>
      <c r="R492" s="257">
        <f t="shared" si="808"/>
        <v>1502</v>
      </c>
      <c r="S492" s="257">
        <f t="shared" ref="S492:T492" si="809">S493+S494</f>
        <v>407.5</v>
      </c>
      <c r="T492" s="257">
        <f t="shared" si="809"/>
        <v>1934</v>
      </c>
      <c r="U492" s="257">
        <f t="shared" ref="U492:V492" si="810">U493+U494</f>
        <v>50</v>
      </c>
      <c r="V492" s="257">
        <f t="shared" si="810"/>
        <v>1934</v>
      </c>
      <c r="W492" s="257">
        <f t="shared" ref="W492:X492" si="811">W493+W494</f>
        <v>56</v>
      </c>
      <c r="X492" s="257">
        <f t="shared" si="811"/>
        <v>1990</v>
      </c>
      <c r="Y492" s="257">
        <f t="shared" ref="Y492:Z492" si="812">Y493+Y494</f>
        <v>191</v>
      </c>
      <c r="Z492" s="257">
        <f t="shared" si="812"/>
        <v>2181</v>
      </c>
    </row>
    <row r="493" spans="1:26" ht="18.75" customHeight="1" x14ac:dyDescent="0.2">
      <c r="A493" s="259" t="s">
        <v>95</v>
      </c>
      <c r="B493" s="252">
        <v>800</v>
      </c>
      <c r="C493" s="252" t="s">
        <v>190</v>
      </c>
      <c r="D493" s="252" t="s">
        <v>194</v>
      </c>
      <c r="E493" s="252" t="s">
        <v>895</v>
      </c>
      <c r="F493" s="252" t="s">
        <v>96</v>
      </c>
      <c r="G493" s="257"/>
      <c r="H493" s="257">
        <v>1495</v>
      </c>
      <c r="I493" s="257">
        <v>-347</v>
      </c>
      <c r="J493" s="257">
        <f>H493+I493</f>
        <v>1148</v>
      </c>
      <c r="K493" s="257">
        <v>0</v>
      </c>
      <c r="L493" s="257">
        <v>1154</v>
      </c>
      <c r="M493" s="257">
        <v>1154</v>
      </c>
      <c r="N493" s="257">
        <v>0</v>
      </c>
      <c r="O493" s="257">
        <f>M493+N493</f>
        <v>1154</v>
      </c>
      <c r="P493" s="257">
        <v>1154</v>
      </c>
      <c r="Q493" s="257">
        <v>0</v>
      </c>
      <c r="R493" s="257">
        <f>P493+Q493</f>
        <v>1154</v>
      </c>
      <c r="S493" s="257">
        <v>312.60000000000002</v>
      </c>
      <c r="T493" s="257">
        <v>1485</v>
      </c>
      <c r="U493" s="257">
        <v>39</v>
      </c>
      <c r="V493" s="257">
        <v>1485</v>
      </c>
      <c r="W493" s="257">
        <v>43</v>
      </c>
      <c r="X493" s="257">
        <v>1528</v>
      </c>
      <c r="Y493" s="257">
        <v>147</v>
      </c>
      <c r="Z493" s="257">
        <f t="shared" ref="Z493:Z494" si="813">X493+Y493</f>
        <v>1675</v>
      </c>
    </row>
    <row r="494" spans="1:26" ht="32.25" customHeight="1" x14ac:dyDescent="0.2">
      <c r="A494" s="375" t="s">
        <v>898</v>
      </c>
      <c r="B494" s="252">
        <v>800</v>
      </c>
      <c r="C494" s="252" t="s">
        <v>190</v>
      </c>
      <c r="D494" s="252" t="s">
        <v>194</v>
      </c>
      <c r="E494" s="252" t="s">
        <v>895</v>
      </c>
      <c r="F494" s="252" t="s">
        <v>896</v>
      </c>
      <c r="G494" s="257"/>
      <c r="H494" s="257">
        <v>0</v>
      </c>
      <c r="I494" s="257">
        <v>347</v>
      </c>
      <c r="J494" s="257">
        <f>H494+I494</f>
        <v>347</v>
      </c>
      <c r="K494" s="257">
        <v>0</v>
      </c>
      <c r="L494" s="257">
        <v>348</v>
      </c>
      <c r="M494" s="257">
        <v>348</v>
      </c>
      <c r="N494" s="257">
        <v>0</v>
      </c>
      <c r="O494" s="257">
        <f>M494+N494</f>
        <v>348</v>
      </c>
      <c r="P494" s="257">
        <v>348</v>
      </c>
      <c r="Q494" s="257">
        <v>0</v>
      </c>
      <c r="R494" s="257">
        <f t="shared" ref="R494:R517" si="814">P494+Q494</f>
        <v>348</v>
      </c>
      <c r="S494" s="257">
        <v>94.9</v>
      </c>
      <c r="T494" s="257">
        <v>449</v>
      </c>
      <c r="U494" s="257">
        <v>11</v>
      </c>
      <c r="V494" s="257">
        <v>449</v>
      </c>
      <c r="W494" s="257">
        <v>13</v>
      </c>
      <c r="X494" s="257">
        <v>462</v>
      </c>
      <c r="Y494" s="257">
        <v>44</v>
      </c>
      <c r="Z494" s="257">
        <f t="shared" si="813"/>
        <v>506</v>
      </c>
    </row>
    <row r="495" spans="1:26" ht="15.75" customHeight="1" x14ac:dyDescent="0.2">
      <c r="A495" s="259" t="s">
        <v>736</v>
      </c>
      <c r="B495" s="252">
        <v>800</v>
      </c>
      <c r="C495" s="252" t="s">
        <v>190</v>
      </c>
      <c r="D495" s="252" t="s">
        <v>194</v>
      </c>
      <c r="E495" s="252" t="s">
        <v>866</v>
      </c>
      <c r="F495" s="252"/>
      <c r="G495" s="262">
        <f>G496+G499+G500+G501+G502</f>
        <v>0</v>
      </c>
      <c r="H495" s="262">
        <f>H496+H497+H498+H499+H500+H501+H502+H503</f>
        <v>1855</v>
      </c>
      <c r="I495" s="262">
        <f>I496+I497+I498+I499+I500+I501+I502+I503</f>
        <v>0</v>
      </c>
      <c r="J495" s="262">
        <f>J496+J497+J498+J499+J500+J501+J502+J503</f>
        <v>1855</v>
      </c>
      <c r="K495" s="262">
        <f>K496+K497+K498+K499+K500+K501+K502+K503+K504</f>
        <v>0</v>
      </c>
      <c r="L495" s="262">
        <f>L496+L497+L498+L499+L500+L501+L502</f>
        <v>1924</v>
      </c>
      <c r="M495" s="262">
        <f>M496+M497+M498+M499+M500+M501+M502</f>
        <v>1924</v>
      </c>
      <c r="N495" s="262">
        <f t="shared" ref="N495:Q495" si="815">N496+N497+N498+N499+N500+N501+N502</f>
        <v>0</v>
      </c>
      <c r="O495" s="262">
        <f t="shared" si="815"/>
        <v>1924</v>
      </c>
      <c r="P495" s="262">
        <f t="shared" si="815"/>
        <v>1924</v>
      </c>
      <c r="Q495" s="262">
        <f t="shared" si="815"/>
        <v>0</v>
      </c>
      <c r="R495" s="262">
        <f>R496+R497+R498+R499+R500+R501+R502+R503</f>
        <v>1924</v>
      </c>
      <c r="S495" s="262">
        <f t="shared" ref="S495:T495" si="816">S496+S497+S498+S499+S500+S501+S502+S503</f>
        <v>513</v>
      </c>
      <c r="T495" s="262">
        <f t="shared" si="816"/>
        <v>2437</v>
      </c>
      <c r="U495" s="262">
        <f t="shared" ref="U495:V495" si="817">U496+U497+U498+U499+U500+U501+U502+U503</f>
        <v>113</v>
      </c>
      <c r="V495" s="262">
        <f t="shared" si="817"/>
        <v>2437</v>
      </c>
      <c r="W495" s="262">
        <f t="shared" ref="W495:X495" si="818">W496+W497+W498+W499+W500+W501+W502+W503</f>
        <v>1322</v>
      </c>
      <c r="X495" s="262">
        <f t="shared" si="818"/>
        <v>2514</v>
      </c>
      <c r="Y495" s="262">
        <f t="shared" ref="Y495:Z495" si="819">Y496+Y497+Y498+Y499+Y500+Y501+Y502+Y503</f>
        <v>881</v>
      </c>
      <c r="Z495" s="262">
        <f t="shared" si="819"/>
        <v>3395</v>
      </c>
    </row>
    <row r="496" spans="1:26" ht="18.75" customHeight="1" x14ac:dyDescent="0.2">
      <c r="A496" s="259" t="s">
        <v>95</v>
      </c>
      <c r="B496" s="252">
        <v>800</v>
      </c>
      <c r="C496" s="252" t="s">
        <v>190</v>
      </c>
      <c r="D496" s="252" t="s">
        <v>194</v>
      </c>
      <c r="E496" s="252" t="s">
        <v>866</v>
      </c>
      <c r="F496" s="252" t="s">
        <v>96</v>
      </c>
      <c r="G496" s="257"/>
      <c r="H496" s="257">
        <v>1384</v>
      </c>
      <c r="I496" s="257">
        <v>-321</v>
      </c>
      <c r="J496" s="257">
        <f>H496+I496</f>
        <v>1063</v>
      </c>
      <c r="K496" s="257">
        <v>0</v>
      </c>
      <c r="L496" s="257">
        <v>1081</v>
      </c>
      <c r="M496" s="257">
        <v>1081</v>
      </c>
      <c r="N496" s="257">
        <v>0</v>
      </c>
      <c r="O496" s="257">
        <f>M496+N496</f>
        <v>1081</v>
      </c>
      <c r="P496" s="257">
        <v>1081</v>
      </c>
      <c r="Q496" s="257">
        <v>0</v>
      </c>
      <c r="R496" s="257">
        <f t="shared" si="814"/>
        <v>1081</v>
      </c>
      <c r="S496" s="257">
        <v>238</v>
      </c>
      <c r="T496" s="257">
        <f t="shared" ref="T496:T504" si="820">R496+S496</f>
        <v>1319</v>
      </c>
      <c r="U496" s="257">
        <v>87</v>
      </c>
      <c r="V496" s="257">
        <v>1319</v>
      </c>
      <c r="W496" s="257">
        <v>339</v>
      </c>
      <c r="X496" s="257">
        <v>1378</v>
      </c>
      <c r="Y496" s="257">
        <v>0</v>
      </c>
      <c r="Z496" s="257">
        <f t="shared" ref="Z496" si="821">X496+Y496</f>
        <v>1378</v>
      </c>
    </row>
    <row r="497" spans="1:26" ht="18.75" customHeight="1" x14ac:dyDescent="0.2">
      <c r="A497" s="259" t="s">
        <v>97</v>
      </c>
      <c r="B497" s="252">
        <v>800</v>
      </c>
      <c r="C497" s="252" t="s">
        <v>190</v>
      </c>
      <c r="D497" s="252" t="s">
        <v>194</v>
      </c>
      <c r="E497" s="252" t="s">
        <v>866</v>
      </c>
      <c r="F497" s="252" t="s">
        <v>98</v>
      </c>
      <c r="G497" s="257"/>
      <c r="H497" s="257">
        <v>230</v>
      </c>
      <c r="I497" s="257">
        <v>-200</v>
      </c>
      <c r="J497" s="257">
        <f t="shared" ref="J497:J503" si="822">H497+I497</f>
        <v>30</v>
      </c>
      <c r="K497" s="257">
        <v>0</v>
      </c>
      <c r="L497" s="257">
        <v>20</v>
      </c>
      <c r="M497" s="257">
        <v>20</v>
      </c>
      <c r="N497" s="257">
        <v>0</v>
      </c>
      <c r="O497" s="257">
        <f t="shared" ref="O497:O502" si="823">M497+N497</f>
        <v>20</v>
      </c>
      <c r="P497" s="257">
        <v>20</v>
      </c>
      <c r="Q497" s="257">
        <v>0</v>
      </c>
      <c r="R497" s="257">
        <f t="shared" si="814"/>
        <v>20</v>
      </c>
      <c r="S497" s="257">
        <v>10</v>
      </c>
      <c r="T497" s="257">
        <f t="shared" si="820"/>
        <v>30</v>
      </c>
      <c r="U497" s="257">
        <v>0</v>
      </c>
      <c r="V497" s="257">
        <v>30</v>
      </c>
      <c r="W497" s="257">
        <v>0</v>
      </c>
      <c r="X497" s="257">
        <v>30</v>
      </c>
      <c r="Y497" s="257">
        <v>0</v>
      </c>
      <c r="Z497" s="257">
        <f>X497+Y497</f>
        <v>30</v>
      </c>
    </row>
    <row r="498" spans="1:26" ht="35.25" customHeight="1" x14ac:dyDescent="0.2">
      <c r="A498" s="375" t="s">
        <v>904</v>
      </c>
      <c r="B498" s="252">
        <v>800</v>
      </c>
      <c r="C498" s="252" t="s">
        <v>190</v>
      </c>
      <c r="D498" s="252" t="s">
        <v>194</v>
      </c>
      <c r="E498" s="252" t="s">
        <v>866</v>
      </c>
      <c r="F498" s="252" t="s">
        <v>903</v>
      </c>
      <c r="G498" s="257"/>
      <c r="H498" s="257">
        <v>0</v>
      </c>
      <c r="I498" s="257">
        <v>200</v>
      </c>
      <c r="J498" s="257">
        <f t="shared" si="822"/>
        <v>200</v>
      </c>
      <c r="K498" s="257">
        <v>0</v>
      </c>
      <c r="L498" s="257">
        <v>200</v>
      </c>
      <c r="M498" s="257">
        <v>200</v>
      </c>
      <c r="N498" s="257">
        <v>0</v>
      </c>
      <c r="O498" s="257">
        <f t="shared" si="823"/>
        <v>200</v>
      </c>
      <c r="P498" s="257">
        <v>200</v>
      </c>
      <c r="Q498" s="257">
        <v>0</v>
      </c>
      <c r="R498" s="257">
        <f t="shared" si="814"/>
        <v>200</v>
      </c>
      <c r="S498" s="257">
        <v>232</v>
      </c>
      <c r="T498" s="257">
        <f t="shared" si="820"/>
        <v>432</v>
      </c>
      <c r="U498" s="257">
        <v>0</v>
      </c>
      <c r="V498" s="257">
        <v>432</v>
      </c>
      <c r="W498" s="257">
        <v>881</v>
      </c>
      <c r="X498" s="257">
        <v>432</v>
      </c>
      <c r="Y498" s="257">
        <v>881</v>
      </c>
      <c r="Z498" s="257">
        <f t="shared" ref="Z498:Z504" si="824">X498+Y498</f>
        <v>1313</v>
      </c>
    </row>
    <row r="499" spans="1:26" ht="35.25" customHeight="1" x14ac:dyDescent="0.2">
      <c r="A499" s="375" t="s">
        <v>898</v>
      </c>
      <c r="B499" s="252">
        <v>800</v>
      </c>
      <c r="C499" s="252" t="s">
        <v>190</v>
      </c>
      <c r="D499" s="252" t="s">
        <v>194</v>
      </c>
      <c r="E499" s="252" t="s">
        <v>866</v>
      </c>
      <c r="F499" s="252" t="s">
        <v>896</v>
      </c>
      <c r="G499" s="257"/>
      <c r="H499" s="257">
        <v>0</v>
      </c>
      <c r="I499" s="257">
        <v>321</v>
      </c>
      <c r="J499" s="257">
        <f t="shared" si="822"/>
        <v>321</v>
      </c>
      <c r="K499" s="257">
        <v>0</v>
      </c>
      <c r="L499" s="257">
        <v>327</v>
      </c>
      <c r="M499" s="257">
        <v>327</v>
      </c>
      <c r="N499" s="257">
        <v>0</v>
      </c>
      <c r="O499" s="257">
        <f t="shared" si="823"/>
        <v>327</v>
      </c>
      <c r="P499" s="257">
        <v>327</v>
      </c>
      <c r="Q499" s="257">
        <v>0</v>
      </c>
      <c r="R499" s="257">
        <f t="shared" si="814"/>
        <v>327</v>
      </c>
      <c r="S499" s="257">
        <v>72</v>
      </c>
      <c r="T499" s="257">
        <f t="shared" si="820"/>
        <v>399</v>
      </c>
      <c r="U499" s="257">
        <v>26</v>
      </c>
      <c r="V499" s="257">
        <v>399</v>
      </c>
      <c r="W499" s="257">
        <v>102</v>
      </c>
      <c r="X499" s="257">
        <v>417</v>
      </c>
      <c r="Y499" s="257">
        <v>0</v>
      </c>
      <c r="Z499" s="257">
        <f t="shared" si="824"/>
        <v>417</v>
      </c>
    </row>
    <row r="500" spans="1:26" ht="18.75" hidden="1" customHeight="1" x14ac:dyDescent="0.2">
      <c r="A500" s="259" t="s">
        <v>99</v>
      </c>
      <c r="B500" s="252">
        <v>800</v>
      </c>
      <c r="C500" s="252" t="s">
        <v>190</v>
      </c>
      <c r="D500" s="252" t="s">
        <v>194</v>
      </c>
      <c r="E500" s="252" t="s">
        <v>866</v>
      </c>
      <c r="F500" s="252" t="s">
        <v>100</v>
      </c>
      <c r="G500" s="257"/>
      <c r="H500" s="257">
        <v>31</v>
      </c>
      <c r="I500" s="257">
        <v>0</v>
      </c>
      <c r="J500" s="257">
        <f t="shared" si="822"/>
        <v>31</v>
      </c>
      <c r="K500" s="257">
        <v>0</v>
      </c>
      <c r="L500" s="257">
        <v>63</v>
      </c>
      <c r="M500" s="257">
        <v>63</v>
      </c>
      <c r="N500" s="257">
        <v>0</v>
      </c>
      <c r="O500" s="257">
        <f t="shared" si="823"/>
        <v>63</v>
      </c>
      <c r="P500" s="257">
        <v>63</v>
      </c>
      <c r="Q500" s="257">
        <v>0</v>
      </c>
      <c r="R500" s="257">
        <f t="shared" si="814"/>
        <v>63</v>
      </c>
      <c r="S500" s="257">
        <v>-36</v>
      </c>
      <c r="T500" s="257">
        <f t="shared" si="820"/>
        <v>27</v>
      </c>
      <c r="U500" s="257">
        <v>0</v>
      </c>
      <c r="V500" s="257">
        <v>27</v>
      </c>
      <c r="W500" s="257">
        <v>-27</v>
      </c>
      <c r="X500" s="257">
        <v>0</v>
      </c>
      <c r="Y500" s="257">
        <v>0</v>
      </c>
      <c r="Z500" s="257">
        <f t="shared" si="824"/>
        <v>0</v>
      </c>
    </row>
    <row r="501" spans="1:26" ht="18.75" customHeight="1" x14ac:dyDescent="0.2">
      <c r="A501" s="259" t="s">
        <v>93</v>
      </c>
      <c r="B501" s="252">
        <v>800</v>
      </c>
      <c r="C501" s="252" t="s">
        <v>190</v>
      </c>
      <c r="D501" s="252" t="s">
        <v>194</v>
      </c>
      <c r="E501" s="252" t="s">
        <v>866</v>
      </c>
      <c r="F501" s="252" t="s">
        <v>94</v>
      </c>
      <c r="G501" s="257"/>
      <c r="H501" s="257">
        <v>200</v>
      </c>
      <c r="I501" s="257">
        <v>0</v>
      </c>
      <c r="J501" s="257">
        <f t="shared" si="822"/>
        <v>200</v>
      </c>
      <c r="K501" s="257">
        <v>0</v>
      </c>
      <c r="L501" s="257">
        <v>230</v>
      </c>
      <c r="M501" s="257">
        <v>230</v>
      </c>
      <c r="N501" s="257">
        <v>0</v>
      </c>
      <c r="O501" s="257">
        <f t="shared" si="823"/>
        <v>230</v>
      </c>
      <c r="P501" s="257">
        <v>230</v>
      </c>
      <c r="Q501" s="257">
        <v>0</v>
      </c>
      <c r="R501" s="257">
        <f t="shared" si="814"/>
        <v>230</v>
      </c>
      <c r="S501" s="257">
        <v>0</v>
      </c>
      <c r="T501" s="257">
        <f t="shared" si="820"/>
        <v>230</v>
      </c>
      <c r="U501" s="257">
        <v>0</v>
      </c>
      <c r="V501" s="257">
        <v>230</v>
      </c>
      <c r="W501" s="257">
        <v>27</v>
      </c>
      <c r="X501" s="257">
        <v>257</v>
      </c>
      <c r="Y501" s="257">
        <v>0</v>
      </c>
      <c r="Z501" s="257">
        <f t="shared" si="824"/>
        <v>257</v>
      </c>
    </row>
    <row r="502" spans="1:26" ht="18.75" hidden="1" customHeight="1" x14ac:dyDescent="0.2">
      <c r="A502" s="259" t="s">
        <v>103</v>
      </c>
      <c r="B502" s="252">
        <v>800</v>
      </c>
      <c r="C502" s="252" t="s">
        <v>190</v>
      </c>
      <c r="D502" s="252" t="s">
        <v>194</v>
      </c>
      <c r="E502" s="252" t="s">
        <v>866</v>
      </c>
      <c r="F502" s="252" t="s">
        <v>104</v>
      </c>
      <c r="G502" s="257"/>
      <c r="H502" s="257">
        <v>10</v>
      </c>
      <c r="I502" s="257">
        <v>-0.62</v>
      </c>
      <c r="J502" s="257">
        <f t="shared" si="822"/>
        <v>9.3800000000000008</v>
      </c>
      <c r="K502" s="257">
        <v>-0.04</v>
      </c>
      <c r="L502" s="257">
        <v>3</v>
      </c>
      <c r="M502" s="257">
        <v>3</v>
      </c>
      <c r="N502" s="257">
        <v>0</v>
      </c>
      <c r="O502" s="257">
        <f t="shared" si="823"/>
        <v>3</v>
      </c>
      <c r="P502" s="257">
        <v>3</v>
      </c>
      <c r="Q502" s="257">
        <v>0</v>
      </c>
      <c r="R502" s="257">
        <f t="shared" si="814"/>
        <v>3</v>
      </c>
      <c r="S502" s="257">
        <v>-3</v>
      </c>
      <c r="T502" s="257">
        <f t="shared" si="820"/>
        <v>0</v>
      </c>
      <c r="U502" s="257">
        <v>0</v>
      </c>
      <c r="V502" s="257">
        <f t="shared" ref="V502:V504" si="825">T502+U502</f>
        <v>0</v>
      </c>
      <c r="W502" s="257">
        <v>0</v>
      </c>
      <c r="X502" s="257">
        <f t="shared" ref="X502:X504" si="826">V502+W502</f>
        <v>0</v>
      </c>
      <c r="Y502" s="257">
        <v>0</v>
      </c>
      <c r="Z502" s="257">
        <f t="shared" si="824"/>
        <v>0</v>
      </c>
    </row>
    <row r="503" spans="1:26" ht="18.75" hidden="1" customHeight="1" x14ac:dyDescent="0.2">
      <c r="A503" s="259" t="s">
        <v>400</v>
      </c>
      <c r="B503" s="252">
        <v>800</v>
      </c>
      <c r="C503" s="252" t="s">
        <v>190</v>
      </c>
      <c r="D503" s="252" t="s">
        <v>194</v>
      </c>
      <c r="E503" s="252" t="s">
        <v>866</v>
      </c>
      <c r="F503" s="252" t="s">
        <v>106</v>
      </c>
      <c r="G503" s="257"/>
      <c r="H503" s="257">
        <v>0</v>
      </c>
      <c r="I503" s="257">
        <v>0.62</v>
      </c>
      <c r="J503" s="257">
        <f t="shared" si="822"/>
        <v>0.62</v>
      </c>
      <c r="K503" s="257">
        <v>0</v>
      </c>
      <c r="L503" s="257">
        <v>0</v>
      </c>
      <c r="M503" s="257">
        <v>0</v>
      </c>
      <c r="N503" s="257">
        <v>0</v>
      </c>
      <c r="O503" s="257">
        <v>0</v>
      </c>
      <c r="P503" s="257">
        <v>0</v>
      </c>
      <c r="Q503" s="257">
        <v>0</v>
      </c>
      <c r="R503" s="257">
        <f t="shared" si="814"/>
        <v>0</v>
      </c>
      <c r="S503" s="257">
        <f t="shared" ref="S503:S504" si="827">Q503+R503</f>
        <v>0</v>
      </c>
      <c r="T503" s="257">
        <f t="shared" si="820"/>
        <v>0</v>
      </c>
      <c r="U503" s="257">
        <f t="shared" ref="U503:U504" si="828">S503+T503</f>
        <v>0</v>
      </c>
      <c r="V503" s="257">
        <f t="shared" si="825"/>
        <v>0</v>
      </c>
      <c r="W503" s="257">
        <f t="shared" ref="W503:W504" si="829">U503+V503</f>
        <v>0</v>
      </c>
      <c r="X503" s="257">
        <f t="shared" si="826"/>
        <v>0</v>
      </c>
      <c r="Y503" s="257">
        <v>0</v>
      </c>
      <c r="Z503" s="257">
        <f t="shared" si="824"/>
        <v>0</v>
      </c>
    </row>
    <row r="504" spans="1:26" ht="18.75" hidden="1" customHeight="1" x14ac:dyDescent="0.2">
      <c r="A504" s="259" t="s">
        <v>906</v>
      </c>
      <c r="B504" s="252">
        <v>800</v>
      </c>
      <c r="C504" s="252" t="s">
        <v>190</v>
      </c>
      <c r="D504" s="252" t="s">
        <v>194</v>
      </c>
      <c r="E504" s="252" t="s">
        <v>866</v>
      </c>
      <c r="F504" s="252" t="s">
        <v>905</v>
      </c>
      <c r="G504" s="257"/>
      <c r="H504" s="257"/>
      <c r="I504" s="257"/>
      <c r="J504" s="257"/>
      <c r="K504" s="257">
        <v>0.04</v>
      </c>
      <c r="L504" s="257">
        <v>0</v>
      </c>
      <c r="M504" s="257">
        <v>0</v>
      </c>
      <c r="N504" s="257">
        <v>0</v>
      </c>
      <c r="O504" s="257">
        <v>0</v>
      </c>
      <c r="P504" s="257">
        <v>0</v>
      </c>
      <c r="Q504" s="257">
        <v>0</v>
      </c>
      <c r="R504" s="257">
        <f t="shared" si="814"/>
        <v>0</v>
      </c>
      <c r="S504" s="257">
        <f t="shared" si="827"/>
        <v>0</v>
      </c>
      <c r="T504" s="257">
        <f t="shared" si="820"/>
        <v>0</v>
      </c>
      <c r="U504" s="257">
        <f t="shared" si="828"/>
        <v>0</v>
      </c>
      <c r="V504" s="257">
        <f t="shared" si="825"/>
        <v>0</v>
      </c>
      <c r="W504" s="257">
        <f t="shared" si="829"/>
        <v>0</v>
      </c>
      <c r="X504" s="257">
        <f t="shared" si="826"/>
        <v>0</v>
      </c>
      <c r="Y504" s="257">
        <f t="shared" ref="Y504" si="830">W504+X504</f>
        <v>0</v>
      </c>
      <c r="Z504" s="257">
        <f t="shared" si="824"/>
        <v>0</v>
      </c>
    </row>
    <row r="505" spans="1:26" s="430" customFormat="1" ht="30.75" customHeight="1" x14ac:dyDescent="0.2">
      <c r="A505" s="462" t="s">
        <v>199</v>
      </c>
      <c r="B505" s="250" t="s">
        <v>698</v>
      </c>
      <c r="C505" s="250" t="s">
        <v>190</v>
      </c>
      <c r="D505" s="250" t="s">
        <v>200</v>
      </c>
      <c r="E505" s="250"/>
      <c r="F505" s="250"/>
      <c r="G505" s="275">
        <f>G506+G512</f>
        <v>0</v>
      </c>
      <c r="H505" s="275">
        <f t="shared" ref="H505:R505" si="831">H512</f>
        <v>1079.5</v>
      </c>
      <c r="I505" s="275">
        <f t="shared" si="831"/>
        <v>0</v>
      </c>
      <c r="J505" s="275">
        <f t="shared" si="831"/>
        <v>1079.5</v>
      </c>
      <c r="K505" s="275">
        <f t="shared" si="831"/>
        <v>0</v>
      </c>
      <c r="L505" s="275">
        <f t="shared" si="831"/>
        <v>1066</v>
      </c>
      <c r="M505" s="275">
        <f t="shared" si="831"/>
        <v>1066</v>
      </c>
      <c r="N505" s="275">
        <f t="shared" si="831"/>
        <v>-46</v>
      </c>
      <c r="O505" s="275">
        <f t="shared" si="831"/>
        <v>1020</v>
      </c>
      <c r="P505" s="275">
        <f t="shared" si="831"/>
        <v>1020</v>
      </c>
      <c r="Q505" s="275">
        <f t="shared" si="831"/>
        <v>0</v>
      </c>
      <c r="R505" s="275">
        <f t="shared" si="831"/>
        <v>1020</v>
      </c>
      <c r="S505" s="275">
        <f t="shared" ref="S505:T505" si="832">S512</f>
        <v>1057.2</v>
      </c>
      <c r="T505" s="275">
        <f t="shared" si="832"/>
        <v>1804</v>
      </c>
      <c r="U505" s="275">
        <f t="shared" ref="U505:V505" si="833">U512</f>
        <v>396</v>
      </c>
      <c r="V505" s="275">
        <f t="shared" si="833"/>
        <v>1804</v>
      </c>
      <c r="W505" s="275">
        <f t="shared" ref="W505:X505" si="834">W512</f>
        <v>1176</v>
      </c>
      <c r="X505" s="275">
        <f t="shared" si="834"/>
        <v>2064</v>
      </c>
      <c r="Y505" s="275">
        <f t="shared" ref="Y505:Z505" si="835">Y512</f>
        <v>188</v>
      </c>
      <c r="Z505" s="275">
        <f t="shared" si="835"/>
        <v>2252</v>
      </c>
    </row>
    <row r="506" spans="1:26" ht="21" hidden="1" customHeight="1" x14ac:dyDescent="0.2">
      <c r="A506" s="259" t="s">
        <v>451</v>
      </c>
      <c r="B506" s="271">
        <v>800</v>
      </c>
      <c r="C506" s="252" t="s">
        <v>190</v>
      </c>
      <c r="D506" s="252" t="s">
        <v>200</v>
      </c>
      <c r="E506" s="260" t="s">
        <v>485</v>
      </c>
      <c r="F506" s="252"/>
      <c r="G506" s="257"/>
      <c r="H506" s="257"/>
      <c r="I506" s="257">
        <f>I507+I508+I509+I510+I511</f>
        <v>-836</v>
      </c>
      <c r="J506" s="257" t="e">
        <f>J507+J508+J509+J510+J511</f>
        <v>#REF!</v>
      </c>
      <c r="K506" s="257">
        <f>K507+K508+K509+K510+K511</f>
        <v>-836</v>
      </c>
      <c r="L506" s="257" t="e">
        <f>L507+L508+L509+L510+L511</f>
        <v>#REF!</v>
      </c>
      <c r="M506" s="257" t="e">
        <f>M507+M508+M509+M510+M511</f>
        <v>#REF!</v>
      </c>
      <c r="N506" s="257" t="e">
        <f t="shared" ref="N506:R506" si="836">N507+N508+N509+N510+N511</f>
        <v>#REF!</v>
      </c>
      <c r="O506" s="257" t="e">
        <f t="shared" si="836"/>
        <v>#REF!</v>
      </c>
      <c r="P506" s="257" t="e">
        <f t="shared" si="836"/>
        <v>#REF!</v>
      </c>
      <c r="Q506" s="257" t="e">
        <f t="shared" si="836"/>
        <v>#REF!</v>
      </c>
      <c r="R506" s="257" t="e">
        <f t="shared" si="836"/>
        <v>#REF!</v>
      </c>
      <c r="S506" s="257" t="e">
        <f t="shared" ref="S506:T506" si="837">S507+S508+S509+S510+S511</f>
        <v>#REF!</v>
      </c>
      <c r="T506" s="257" t="e">
        <f t="shared" si="837"/>
        <v>#REF!</v>
      </c>
      <c r="U506" s="257" t="e">
        <f t="shared" ref="U506:V506" si="838">U507+U508+U509+U510+U511</f>
        <v>#REF!</v>
      </c>
      <c r="V506" s="257" t="e">
        <f t="shared" si="838"/>
        <v>#REF!</v>
      </c>
      <c r="W506" s="257" t="e">
        <f t="shared" ref="W506:X506" si="839">W507+W508+W509+W510+W511</f>
        <v>#REF!</v>
      </c>
      <c r="X506" s="257" t="e">
        <f t="shared" si="839"/>
        <v>#REF!</v>
      </c>
      <c r="Y506" s="257" t="e">
        <f t="shared" ref="Y506:Z506" si="840">Y507+Y508+Y509+Y510+Y511</f>
        <v>#REF!</v>
      </c>
      <c r="Z506" s="257" t="e">
        <f t="shared" si="840"/>
        <v>#REF!</v>
      </c>
    </row>
    <row r="507" spans="1:26" ht="13.5" hidden="1" customHeight="1" x14ac:dyDescent="0.2">
      <c r="A507" s="259" t="s">
        <v>95</v>
      </c>
      <c r="B507" s="271">
        <v>800</v>
      </c>
      <c r="C507" s="252" t="s">
        <v>190</v>
      </c>
      <c r="D507" s="252" t="s">
        <v>200</v>
      </c>
      <c r="E507" s="260" t="s">
        <v>485</v>
      </c>
      <c r="F507" s="252" t="s">
        <v>96</v>
      </c>
      <c r="G507" s="257"/>
      <c r="H507" s="257"/>
      <c r="I507" s="257">
        <v>-750</v>
      </c>
      <c r="J507" s="257" t="e">
        <f>#REF!+I507</f>
        <v>#REF!</v>
      </c>
      <c r="K507" s="257">
        <v>-750</v>
      </c>
      <c r="L507" s="257" t="e">
        <f>#REF!+J507</f>
        <v>#REF!</v>
      </c>
      <c r="M507" s="257" t="e">
        <f>#REF!+K507</f>
        <v>#REF!</v>
      </c>
      <c r="N507" s="257" t="e">
        <f>#REF!+L507</f>
        <v>#REF!</v>
      </c>
      <c r="O507" s="257" t="e">
        <f>#REF!+M507</f>
        <v>#REF!</v>
      </c>
      <c r="P507" s="257" t="e">
        <f>#REF!+N507</f>
        <v>#REF!</v>
      </c>
      <c r="Q507" s="257" t="e">
        <f>#REF!+O507</f>
        <v>#REF!</v>
      </c>
      <c r="R507" s="257" t="e">
        <f>#REF!+P507</f>
        <v>#REF!</v>
      </c>
      <c r="S507" s="257" t="e">
        <f>#REF!+Q507</f>
        <v>#REF!</v>
      </c>
      <c r="T507" s="257" t="e">
        <f>#REF!+R507</f>
        <v>#REF!</v>
      </c>
      <c r="U507" s="257" t="e">
        <f>#REF!+S507</f>
        <v>#REF!</v>
      </c>
      <c r="V507" s="257" t="e">
        <f>#REF!+T507</f>
        <v>#REF!</v>
      </c>
      <c r="W507" s="257" t="e">
        <f>#REF!+U507</f>
        <v>#REF!</v>
      </c>
      <c r="X507" s="257" t="e">
        <f>#REF!+V507</f>
        <v>#REF!</v>
      </c>
      <c r="Y507" s="257" t="e">
        <f>#REF!+W507</f>
        <v>#REF!</v>
      </c>
      <c r="Z507" s="257" t="e">
        <f>#REF!+X507</f>
        <v>#REF!</v>
      </c>
    </row>
    <row r="508" spans="1:26" ht="13.5" hidden="1" customHeight="1" x14ac:dyDescent="0.2">
      <c r="A508" s="259" t="s">
        <v>97</v>
      </c>
      <c r="B508" s="271">
        <v>800</v>
      </c>
      <c r="C508" s="252" t="s">
        <v>190</v>
      </c>
      <c r="D508" s="252" t="s">
        <v>200</v>
      </c>
      <c r="E508" s="260" t="s">
        <v>485</v>
      </c>
      <c r="F508" s="271" t="s">
        <v>98</v>
      </c>
      <c r="G508" s="257"/>
      <c r="H508" s="257"/>
      <c r="I508" s="257">
        <v>-36</v>
      </c>
      <c r="J508" s="257" t="e">
        <f>#REF!+I508</f>
        <v>#REF!</v>
      </c>
      <c r="K508" s="257">
        <v>-36</v>
      </c>
      <c r="L508" s="257" t="e">
        <f>#REF!+J508</f>
        <v>#REF!</v>
      </c>
      <c r="M508" s="257" t="e">
        <f>#REF!+K508</f>
        <v>#REF!</v>
      </c>
      <c r="N508" s="257" t="e">
        <f>#REF!+L508</f>
        <v>#REF!</v>
      </c>
      <c r="O508" s="257" t="e">
        <f>#REF!+M508</f>
        <v>#REF!</v>
      </c>
      <c r="P508" s="257" t="e">
        <f>#REF!+N508</f>
        <v>#REF!</v>
      </c>
      <c r="Q508" s="257" t="e">
        <f>#REF!+O508</f>
        <v>#REF!</v>
      </c>
      <c r="R508" s="257" t="e">
        <f>#REF!+P508</f>
        <v>#REF!</v>
      </c>
      <c r="S508" s="257" t="e">
        <f>#REF!+Q508</f>
        <v>#REF!</v>
      </c>
      <c r="T508" s="257" t="e">
        <f>#REF!+R508</f>
        <v>#REF!</v>
      </c>
      <c r="U508" s="257" t="e">
        <f>#REF!+S508</f>
        <v>#REF!</v>
      </c>
      <c r="V508" s="257" t="e">
        <f>#REF!+T508</f>
        <v>#REF!</v>
      </c>
      <c r="W508" s="257" t="e">
        <f>#REF!+U508</f>
        <v>#REF!</v>
      </c>
      <c r="X508" s="257" t="e">
        <f>#REF!+V508</f>
        <v>#REF!</v>
      </c>
      <c r="Y508" s="257" t="e">
        <f>#REF!+W508</f>
        <v>#REF!</v>
      </c>
      <c r="Z508" s="257" t="e">
        <f>#REF!+X508</f>
        <v>#REF!</v>
      </c>
    </row>
    <row r="509" spans="1:26" ht="27" hidden="1" customHeight="1" x14ac:dyDescent="0.2">
      <c r="A509" s="259" t="s">
        <v>99</v>
      </c>
      <c r="B509" s="271">
        <v>800</v>
      </c>
      <c r="C509" s="252" t="s">
        <v>190</v>
      </c>
      <c r="D509" s="252" t="s">
        <v>200</v>
      </c>
      <c r="E509" s="260" t="s">
        <v>485</v>
      </c>
      <c r="F509" s="252" t="s">
        <v>100</v>
      </c>
      <c r="G509" s="257"/>
      <c r="H509" s="257"/>
      <c r="I509" s="257">
        <v>0</v>
      </c>
      <c r="J509" s="257" t="e">
        <f>#REF!+I509</f>
        <v>#REF!</v>
      </c>
      <c r="K509" s="257">
        <v>0</v>
      </c>
      <c r="L509" s="257" t="e">
        <f>#REF!+J509</f>
        <v>#REF!</v>
      </c>
      <c r="M509" s="257" t="e">
        <f>#REF!+K509</f>
        <v>#REF!</v>
      </c>
      <c r="N509" s="257" t="e">
        <f>#REF!+L509</f>
        <v>#REF!</v>
      </c>
      <c r="O509" s="257" t="e">
        <f>#REF!+M509</f>
        <v>#REF!</v>
      </c>
      <c r="P509" s="257" t="e">
        <f>#REF!+N509</f>
        <v>#REF!</v>
      </c>
      <c r="Q509" s="257" t="e">
        <f>#REF!+O509</f>
        <v>#REF!</v>
      </c>
      <c r="R509" s="257" t="e">
        <f>#REF!+P509</f>
        <v>#REF!</v>
      </c>
      <c r="S509" s="257" t="e">
        <f>#REF!+Q509</f>
        <v>#REF!</v>
      </c>
      <c r="T509" s="257" t="e">
        <f>#REF!+R509</f>
        <v>#REF!</v>
      </c>
      <c r="U509" s="257" t="e">
        <f>#REF!+S509</f>
        <v>#REF!</v>
      </c>
      <c r="V509" s="257" t="e">
        <f>#REF!+T509</f>
        <v>#REF!</v>
      </c>
      <c r="W509" s="257" t="e">
        <f>#REF!+U509</f>
        <v>#REF!</v>
      </c>
      <c r="X509" s="257" t="e">
        <f>#REF!+V509</f>
        <v>#REF!</v>
      </c>
      <c r="Y509" s="257" t="e">
        <f>#REF!+W509</f>
        <v>#REF!</v>
      </c>
      <c r="Z509" s="257" t="e">
        <f>#REF!+X509</f>
        <v>#REF!</v>
      </c>
    </row>
    <row r="510" spans="1:26" ht="20.25" hidden="1" customHeight="1" x14ac:dyDescent="0.2">
      <c r="A510" s="259" t="s">
        <v>93</v>
      </c>
      <c r="B510" s="271">
        <v>800</v>
      </c>
      <c r="C510" s="252" t="s">
        <v>190</v>
      </c>
      <c r="D510" s="252" t="s">
        <v>200</v>
      </c>
      <c r="E510" s="260" t="s">
        <v>485</v>
      </c>
      <c r="F510" s="252" t="s">
        <v>94</v>
      </c>
      <c r="G510" s="257"/>
      <c r="H510" s="257"/>
      <c r="I510" s="257">
        <v>-50</v>
      </c>
      <c r="J510" s="257" t="e">
        <f>#REF!+I510</f>
        <v>#REF!</v>
      </c>
      <c r="K510" s="257">
        <v>-50</v>
      </c>
      <c r="L510" s="257" t="e">
        <f>#REF!+J510</f>
        <v>#REF!</v>
      </c>
      <c r="M510" s="257" t="e">
        <f>#REF!+K510</f>
        <v>#REF!</v>
      </c>
      <c r="N510" s="257" t="e">
        <f>#REF!+L510</f>
        <v>#REF!</v>
      </c>
      <c r="O510" s="257" t="e">
        <f>#REF!+M510</f>
        <v>#REF!</v>
      </c>
      <c r="P510" s="257" t="e">
        <f>#REF!+N510</f>
        <v>#REF!</v>
      </c>
      <c r="Q510" s="257" t="e">
        <f>#REF!+O510</f>
        <v>#REF!</v>
      </c>
      <c r="R510" s="257" t="e">
        <f>#REF!+P510</f>
        <v>#REF!</v>
      </c>
      <c r="S510" s="257" t="e">
        <f>#REF!+Q510</f>
        <v>#REF!</v>
      </c>
      <c r="T510" s="257" t="e">
        <f>#REF!+R510</f>
        <v>#REF!</v>
      </c>
      <c r="U510" s="257" t="e">
        <f>#REF!+S510</f>
        <v>#REF!</v>
      </c>
      <c r="V510" s="257" t="e">
        <f>#REF!+T510</f>
        <v>#REF!</v>
      </c>
      <c r="W510" s="257" t="e">
        <f>#REF!+U510</f>
        <v>#REF!</v>
      </c>
      <c r="X510" s="257" t="e">
        <f>#REF!+V510</f>
        <v>#REF!</v>
      </c>
      <c r="Y510" s="257" t="e">
        <f>#REF!+W510</f>
        <v>#REF!</v>
      </c>
      <c r="Z510" s="257" t="e">
        <f>#REF!+X510</f>
        <v>#REF!</v>
      </c>
    </row>
    <row r="511" spans="1:26" ht="13.5" hidden="1" customHeight="1" x14ac:dyDescent="0.2">
      <c r="A511" s="259" t="s">
        <v>103</v>
      </c>
      <c r="B511" s="252">
        <v>800</v>
      </c>
      <c r="C511" s="252" t="s">
        <v>190</v>
      </c>
      <c r="D511" s="252" t="s">
        <v>200</v>
      </c>
      <c r="E511" s="260" t="s">
        <v>485</v>
      </c>
      <c r="F511" s="252" t="s">
        <v>104</v>
      </c>
      <c r="G511" s="257"/>
      <c r="H511" s="257"/>
      <c r="I511" s="257">
        <v>0</v>
      </c>
      <c r="J511" s="257">
        <f>G511+I511</f>
        <v>0</v>
      </c>
      <c r="K511" s="257">
        <v>0</v>
      </c>
      <c r="L511" s="257">
        <f>H511+J511</f>
        <v>0</v>
      </c>
      <c r="M511" s="257">
        <f>I511+K511</f>
        <v>0</v>
      </c>
      <c r="N511" s="257">
        <f t="shared" ref="N511:O511" si="841">J511+L511</f>
        <v>0</v>
      </c>
      <c r="O511" s="257">
        <f t="shared" si="841"/>
        <v>0</v>
      </c>
      <c r="P511" s="257">
        <f>L511+N511</f>
        <v>0</v>
      </c>
      <c r="Q511" s="257">
        <f t="shared" ref="Q511:R511" si="842">M511+O511</f>
        <v>0</v>
      </c>
      <c r="R511" s="257">
        <f t="shared" si="842"/>
        <v>0</v>
      </c>
      <c r="S511" s="257">
        <f t="shared" ref="S511" si="843">O511+Q511</f>
        <v>0</v>
      </c>
      <c r="T511" s="257">
        <f t="shared" ref="T511" si="844">P511+R511</f>
        <v>0</v>
      </c>
      <c r="U511" s="257">
        <f t="shared" ref="U511" si="845">Q511+S511</f>
        <v>0</v>
      </c>
      <c r="V511" s="257">
        <f t="shared" ref="V511" si="846">R511+T511</f>
        <v>0</v>
      </c>
      <c r="W511" s="257">
        <f t="shared" ref="W511" si="847">S511+U511</f>
        <v>0</v>
      </c>
      <c r="X511" s="257">
        <f t="shared" ref="X511" si="848">T511+V511</f>
        <v>0</v>
      </c>
      <c r="Y511" s="257">
        <f t="shared" ref="Y511" si="849">U511+W511</f>
        <v>0</v>
      </c>
      <c r="Z511" s="257">
        <f t="shared" ref="Z511" si="850">V511+X511</f>
        <v>0</v>
      </c>
    </row>
    <row r="512" spans="1:26" ht="19.5" customHeight="1" x14ac:dyDescent="0.2">
      <c r="A512" s="259" t="s">
        <v>451</v>
      </c>
      <c r="B512" s="252">
        <v>800</v>
      </c>
      <c r="C512" s="252" t="s">
        <v>190</v>
      </c>
      <c r="D512" s="252" t="s">
        <v>200</v>
      </c>
      <c r="E512" s="260" t="s">
        <v>866</v>
      </c>
      <c r="F512" s="252"/>
      <c r="G512" s="262">
        <f>G513+G515+G517</f>
        <v>0</v>
      </c>
      <c r="H512" s="262">
        <f>H513+H514+H515+H517</f>
        <v>1079.5</v>
      </c>
      <c r="I512" s="262">
        <f>I513+I514+I515+I517</f>
        <v>0</v>
      </c>
      <c r="J512" s="262">
        <f>J513+J514+J515+J517</f>
        <v>1079.5</v>
      </c>
      <c r="K512" s="262">
        <f>K513+K514+K515+K517+K516</f>
        <v>0</v>
      </c>
      <c r="L512" s="262">
        <f>L513+L514+L515+L516+L517</f>
        <v>1066</v>
      </c>
      <c r="M512" s="262">
        <f>M513+M514+M515+M516+M517</f>
        <v>1066</v>
      </c>
      <c r="N512" s="262">
        <f t="shared" ref="N512:R512" si="851">N513+N514+N515+N516+N517</f>
        <v>-46</v>
      </c>
      <c r="O512" s="262">
        <f t="shared" si="851"/>
        <v>1020</v>
      </c>
      <c r="P512" s="262">
        <f t="shared" si="851"/>
        <v>1020</v>
      </c>
      <c r="Q512" s="262">
        <f t="shared" si="851"/>
        <v>0</v>
      </c>
      <c r="R512" s="262">
        <f t="shared" si="851"/>
        <v>1020</v>
      </c>
      <c r="S512" s="262">
        <f t="shared" ref="S512:T512" si="852">S513+S514+S515+S516+S517</f>
        <v>1057.2</v>
      </c>
      <c r="T512" s="262">
        <f t="shared" si="852"/>
        <v>1804</v>
      </c>
      <c r="U512" s="262">
        <f t="shared" ref="U512:V512" si="853">U513+U514+U515+U516+U517</f>
        <v>396</v>
      </c>
      <c r="V512" s="262">
        <f t="shared" si="853"/>
        <v>1804</v>
      </c>
      <c r="W512" s="262">
        <f t="shared" ref="W512:X512" si="854">W513+W514+W515+W516+W517</f>
        <v>1176</v>
      </c>
      <c r="X512" s="262">
        <f t="shared" si="854"/>
        <v>2064</v>
      </c>
      <c r="Y512" s="262">
        <f t="shared" ref="Y512:Z512" si="855">Y513+Y514+Y515+Y516+Y517</f>
        <v>188</v>
      </c>
      <c r="Z512" s="262">
        <f t="shared" si="855"/>
        <v>2252</v>
      </c>
    </row>
    <row r="513" spans="1:26" ht="13.5" customHeight="1" x14ac:dyDescent="0.2">
      <c r="A513" s="259" t="s">
        <v>95</v>
      </c>
      <c r="B513" s="252">
        <v>800</v>
      </c>
      <c r="C513" s="252" t="s">
        <v>190</v>
      </c>
      <c r="D513" s="252" t="s">
        <v>200</v>
      </c>
      <c r="E513" s="260" t="s">
        <v>866</v>
      </c>
      <c r="F513" s="252" t="s">
        <v>96</v>
      </c>
      <c r="G513" s="257"/>
      <c r="H513" s="257">
        <v>1033.3</v>
      </c>
      <c r="I513" s="257">
        <v>-240</v>
      </c>
      <c r="J513" s="257">
        <f>H513+I513</f>
        <v>793.3</v>
      </c>
      <c r="K513" s="257">
        <v>0</v>
      </c>
      <c r="L513" s="257">
        <v>770</v>
      </c>
      <c r="M513" s="257">
        <v>770</v>
      </c>
      <c r="N513" s="257">
        <v>-35</v>
      </c>
      <c r="O513" s="257">
        <f>M513+N513</f>
        <v>735</v>
      </c>
      <c r="P513" s="257">
        <v>735</v>
      </c>
      <c r="Q513" s="257">
        <v>0</v>
      </c>
      <c r="R513" s="257">
        <f t="shared" si="814"/>
        <v>735</v>
      </c>
      <c r="S513" s="257">
        <f>612+143.5</f>
        <v>755.5</v>
      </c>
      <c r="T513" s="257">
        <v>1347</v>
      </c>
      <c r="U513" s="257">
        <v>192</v>
      </c>
      <c r="V513" s="257">
        <v>1347</v>
      </c>
      <c r="W513" s="257">
        <v>770</v>
      </c>
      <c r="X513" s="257">
        <v>1547</v>
      </c>
      <c r="Y513" s="257">
        <v>0</v>
      </c>
      <c r="Z513" s="257">
        <f t="shared" ref="Z513:Z517" si="856">X513+Y513</f>
        <v>1547</v>
      </c>
    </row>
    <row r="514" spans="1:26" ht="31.5" customHeight="1" x14ac:dyDescent="0.2">
      <c r="A514" s="375" t="s">
        <v>898</v>
      </c>
      <c r="B514" s="252">
        <v>800</v>
      </c>
      <c r="C514" s="252" t="s">
        <v>190</v>
      </c>
      <c r="D514" s="252" t="s">
        <v>200</v>
      </c>
      <c r="E514" s="260" t="s">
        <v>866</v>
      </c>
      <c r="F514" s="252" t="s">
        <v>896</v>
      </c>
      <c r="G514" s="257"/>
      <c r="H514" s="257">
        <v>0</v>
      </c>
      <c r="I514" s="257">
        <v>240</v>
      </c>
      <c r="J514" s="257">
        <f>H514+I514</f>
        <v>240</v>
      </c>
      <c r="K514" s="257">
        <v>0</v>
      </c>
      <c r="L514" s="257">
        <v>233</v>
      </c>
      <c r="M514" s="257">
        <v>233</v>
      </c>
      <c r="N514" s="257">
        <v>-11</v>
      </c>
      <c r="O514" s="257">
        <f t="shared" ref="O514:O517" si="857">M514+N514</f>
        <v>222</v>
      </c>
      <c r="P514" s="257">
        <v>222</v>
      </c>
      <c r="Q514" s="257">
        <v>0</v>
      </c>
      <c r="R514" s="257">
        <f t="shared" si="814"/>
        <v>222</v>
      </c>
      <c r="S514" s="257">
        <f>185+43.5</f>
        <v>228.5</v>
      </c>
      <c r="T514" s="257">
        <v>407</v>
      </c>
      <c r="U514" s="257">
        <v>58</v>
      </c>
      <c r="V514" s="257">
        <v>407</v>
      </c>
      <c r="W514" s="257">
        <v>233</v>
      </c>
      <c r="X514" s="257">
        <v>467</v>
      </c>
      <c r="Y514" s="257">
        <v>0</v>
      </c>
      <c r="Z514" s="257">
        <f t="shared" si="856"/>
        <v>467</v>
      </c>
    </row>
    <row r="515" spans="1:26" ht="17.25" customHeight="1" x14ac:dyDescent="0.2">
      <c r="A515" s="259" t="s">
        <v>97</v>
      </c>
      <c r="B515" s="252">
        <v>800</v>
      </c>
      <c r="C515" s="252" t="s">
        <v>190</v>
      </c>
      <c r="D515" s="252" t="s">
        <v>200</v>
      </c>
      <c r="E515" s="260" t="s">
        <v>866</v>
      </c>
      <c r="F515" s="252" t="s">
        <v>98</v>
      </c>
      <c r="G515" s="257"/>
      <c r="H515" s="257">
        <v>20</v>
      </c>
      <c r="I515" s="257">
        <v>0</v>
      </c>
      <c r="J515" s="257">
        <f>H515+I515</f>
        <v>20</v>
      </c>
      <c r="K515" s="257">
        <v>0</v>
      </c>
      <c r="L515" s="257">
        <v>20</v>
      </c>
      <c r="M515" s="257">
        <v>20</v>
      </c>
      <c r="N515" s="257">
        <v>0</v>
      </c>
      <c r="O515" s="257">
        <f t="shared" si="857"/>
        <v>20</v>
      </c>
      <c r="P515" s="257">
        <v>20</v>
      </c>
      <c r="Q515" s="257">
        <v>0</v>
      </c>
      <c r="R515" s="257">
        <f t="shared" si="814"/>
        <v>20</v>
      </c>
      <c r="S515" s="257">
        <v>0</v>
      </c>
      <c r="T515" s="257">
        <f t="shared" ref="T515:T516" si="858">R515+S515</f>
        <v>20</v>
      </c>
      <c r="U515" s="257">
        <v>0</v>
      </c>
      <c r="V515" s="257">
        <v>20</v>
      </c>
      <c r="W515" s="257">
        <v>0</v>
      </c>
      <c r="X515" s="257">
        <v>20</v>
      </c>
      <c r="Y515" s="257">
        <v>0</v>
      </c>
      <c r="Z515" s="257">
        <f t="shared" si="856"/>
        <v>20</v>
      </c>
    </row>
    <row r="516" spans="1:26" ht="17.25" hidden="1" customHeight="1" x14ac:dyDescent="0.2">
      <c r="A516" s="259" t="s">
        <v>99</v>
      </c>
      <c r="B516" s="252">
        <v>800</v>
      </c>
      <c r="C516" s="252" t="s">
        <v>190</v>
      </c>
      <c r="D516" s="252" t="s">
        <v>200</v>
      </c>
      <c r="E516" s="260" t="s">
        <v>866</v>
      </c>
      <c r="F516" s="252" t="s">
        <v>100</v>
      </c>
      <c r="G516" s="257"/>
      <c r="H516" s="257"/>
      <c r="I516" s="257"/>
      <c r="J516" s="257"/>
      <c r="K516" s="257">
        <v>6.2</v>
      </c>
      <c r="L516" s="257">
        <v>13</v>
      </c>
      <c r="M516" s="257">
        <v>13</v>
      </c>
      <c r="N516" s="257">
        <v>0</v>
      </c>
      <c r="O516" s="257">
        <f t="shared" si="857"/>
        <v>13</v>
      </c>
      <c r="P516" s="257">
        <v>13</v>
      </c>
      <c r="Q516" s="257">
        <v>0</v>
      </c>
      <c r="R516" s="257">
        <f t="shared" si="814"/>
        <v>13</v>
      </c>
      <c r="S516" s="257">
        <v>-13</v>
      </c>
      <c r="T516" s="257">
        <f t="shared" si="858"/>
        <v>0</v>
      </c>
      <c r="U516" s="257">
        <v>16</v>
      </c>
      <c r="V516" s="257">
        <v>0</v>
      </c>
      <c r="W516" s="257">
        <v>0</v>
      </c>
      <c r="X516" s="257">
        <v>0</v>
      </c>
      <c r="Y516" s="257">
        <v>0</v>
      </c>
      <c r="Z516" s="257">
        <f t="shared" si="856"/>
        <v>0</v>
      </c>
    </row>
    <row r="517" spans="1:26" ht="21.75" customHeight="1" x14ac:dyDescent="0.2">
      <c r="A517" s="259" t="s">
        <v>93</v>
      </c>
      <c r="B517" s="252">
        <v>800</v>
      </c>
      <c r="C517" s="252" t="s">
        <v>190</v>
      </c>
      <c r="D517" s="252" t="s">
        <v>200</v>
      </c>
      <c r="E517" s="260" t="s">
        <v>866</v>
      </c>
      <c r="F517" s="252" t="s">
        <v>94</v>
      </c>
      <c r="G517" s="257"/>
      <c r="H517" s="257">
        <v>26.2</v>
      </c>
      <c r="I517" s="257">
        <v>0</v>
      </c>
      <c r="J517" s="257">
        <f>H517+I517</f>
        <v>26.2</v>
      </c>
      <c r="K517" s="257">
        <v>-6.2</v>
      </c>
      <c r="L517" s="257">
        <v>30</v>
      </c>
      <c r="M517" s="257">
        <v>30</v>
      </c>
      <c r="N517" s="257">
        <v>0</v>
      </c>
      <c r="O517" s="257">
        <f t="shared" si="857"/>
        <v>30</v>
      </c>
      <c r="P517" s="257">
        <v>30</v>
      </c>
      <c r="Q517" s="257">
        <v>0</v>
      </c>
      <c r="R517" s="257">
        <f t="shared" si="814"/>
        <v>30</v>
      </c>
      <c r="S517" s="257">
        <v>86.2</v>
      </c>
      <c r="T517" s="257">
        <v>30</v>
      </c>
      <c r="U517" s="257">
        <v>130</v>
      </c>
      <c r="V517" s="257">
        <v>30</v>
      </c>
      <c r="W517" s="257">
        <v>173</v>
      </c>
      <c r="X517" s="257">
        <v>30</v>
      </c>
      <c r="Y517" s="257">
        <v>188</v>
      </c>
      <c r="Z517" s="257">
        <f t="shared" si="856"/>
        <v>218</v>
      </c>
    </row>
    <row r="518" spans="1:26" s="428" customFormat="1" ht="15.75" x14ac:dyDescent="0.2">
      <c r="A518" s="555" t="s">
        <v>311</v>
      </c>
      <c r="B518" s="554"/>
      <c r="C518" s="554"/>
      <c r="D518" s="554"/>
      <c r="E518" s="554"/>
      <c r="F518" s="554"/>
      <c r="G518" s="447" t="e">
        <f>G519+G663+G726+G793+#REF!+G852+G872+G850</f>
        <v>#REF!</v>
      </c>
      <c r="H518" s="447" t="e">
        <f>H519+H663+H726+H793+#REF!+H852+H872+H847</f>
        <v>#REF!</v>
      </c>
      <c r="I518" s="447" t="e">
        <f>I519+I663+I726+I793+#REF!+I852+I872+I847</f>
        <v>#REF!</v>
      </c>
      <c r="J518" s="447" t="e">
        <f>J519+J663+J726+J793+#REF!+J852+J872+J847</f>
        <v>#REF!</v>
      </c>
      <c r="K518" s="447" t="e">
        <f>K519+K663+K726+K793+#REF!+K852+K872+K847</f>
        <v>#REF!</v>
      </c>
      <c r="L518" s="447" t="e">
        <f>L519+L663+L726+L793+L847+#REF!+L852+L872</f>
        <v>#REF!</v>
      </c>
      <c r="M518" s="447" t="e">
        <f>M519+M663+M726+M793+M847+#REF!+M852+M872</f>
        <v>#REF!</v>
      </c>
      <c r="N518" s="447" t="e">
        <f>N519+N663+N726+N793+N847+#REF!+N852+N872</f>
        <v>#REF!</v>
      </c>
      <c r="O518" s="447" t="e">
        <f>O519+O663+O726+O793+O847+#REF!+O852+O872</f>
        <v>#REF!</v>
      </c>
      <c r="P518" s="447" t="e">
        <f>P519+P663+P726+P793+P847+#REF!+P852+P872</f>
        <v>#REF!</v>
      </c>
      <c r="Q518" s="447" t="e">
        <f>Q519+Q663+Q726+Q793+Q847+#REF!+Q852+Q872</f>
        <v>#REF!</v>
      </c>
      <c r="R518" s="447" t="e">
        <f>R519+R663+R726+R793+R847+R852+#REF!+R872</f>
        <v>#REF!</v>
      </c>
      <c r="S518" s="447" t="e">
        <f>S519+S663+S726+S793+S847+S852+#REF!+S872</f>
        <v>#REF!</v>
      </c>
      <c r="T518" s="447" t="e">
        <f>T519+T663+T726+T793+T847+T852+#REF!+T872</f>
        <v>#REF!</v>
      </c>
      <c r="U518" s="447" t="e">
        <f t="shared" ref="U518:Z518" si="859">U519+U663+U726+U793+U847+U852+U872</f>
        <v>#REF!</v>
      </c>
      <c r="V518" s="447" t="e">
        <f t="shared" si="859"/>
        <v>#REF!</v>
      </c>
      <c r="W518" s="447" t="e">
        <f t="shared" si="859"/>
        <v>#REF!</v>
      </c>
      <c r="X518" s="447">
        <f t="shared" si="859"/>
        <v>114129.49924400006</v>
      </c>
      <c r="Y518" s="447">
        <f t="shared" si="859"/>
        <v>29999.479999999996</v>
      </c>
      <c r="Z518" s="447">
        <f t="shared" si="859"/>
        <v>144128.97924400007</v>
      </c>
    </row>
    <row r="519" spans="1:26" s="430" customFormat="1" ht="14.25" x14ac:dyDescent="0.2">
      <c r="A519" s="462" t="s">
        <v>72</v>
      </c>
      <c r="B519" s="249">
        <v>801</v>
      </c>
      <c r="C519" s="249" t="s">
        <v>312</v>
      </c>
      <c r="D519" s="249"/>
      <c r="E519" s="249"/>
      <c r="F519" s="249"/>
      <c r="G519" s="261" t="e">
        <f>G520+G531+G588+G593+G596+G601</f>
        <v>#REF!</v>
      </c>
      <c r="H519" s="261" t="e">
        <f>H520+H531+H588+H593+H596+H601</f>
        <v>#REF!</v>
      </c>
      <c r="I519" s="261" t="e">
        <f>I520+I531+I588+I593+I596+I601</f>
        <v>#REF!</v>
      </c>
      <c r="J519" s="261" t="e">
        <f>J520+J531+J588+J593+J596+J601</f>
        <v>#REF!</v>
      </c>
      <c r="K519" s="261" t="e">
        <f>K520+K531+K588+K593+K596+K601</f>
        <v>#REF!</v>
      </c>
      <c r="L519" s="261" t="e">
        <f>L520+L531+L596+L601</f>
        <v>#REF!</v>
      </c>
      <c r="M519" s="261" t="e">
        <f>M520+M531+M596+M601</f>
        <v>#REF!</v>
      </c>
      <c r="N519" s="261" t="e">
        <f t="shared" ref="N519:W519" si="860">N520+N531+N596+N601+N588</f>
        <v>#REF!</v>
      </c>
      <c r="O519" s="261" t="e">
        <f t="shared" si="860"/>
        <v>#REF!</v>
      </c>
      <c r="P519" s="261" t="e">
        <f t="shared" si="860"/>
        <v>#REF!</v>
      </c>
      <c r="Q519" s="261" t="e">
        <f t="shared" si="860"/>
        <v>#REF!</v>
      </c>
      <c r="R519" s="261" t="e">
        <f t="shared" si="860"/>
        <v>#REF!</v>
      </c>
      <c r="S519" s="261" t="e">
        <f t="shared" si="860"/>
        <v>#REF!</v>
      </c>
      <c r="T519" s="261" t="e">
        <f t="shared" si="860"/>
        <v>#REF!</v>
      </c>
      <c r="U519" s="261" t="e">
        <f t="shared" si="860"/>
        <v>#REF!</v>
      </c>
      <c r="V519" s="261" t="e">
        <f t="shared" si="860"/>
        <v>#REF!</v>
      </c>
      <c r="W519" s="261" t="e">
        <f t="shared" si="860"/>
        <v>#REF!</v>
      </c>
      <c r="X519" s="261">
        <f>X520+X531+X593+X596+X601+X589</f>
        <v>45204.120000000068</v>
      </c>
      <c r="Y519" s="261">
        <f t="shared" ref="Y519:Z519" si="861">Y520+Y531+Y593+Y596+Y601+Y589</f>
        <v>5166.0999999999995</v>
      </c>
      <c r="Z519" s="261">
        <f t="shared" si="861"/>
        <v>50370.220000000074</v>
      </c>
    </row>
    <row r="520" spans="1:26" ht="30" customHeight="1" x14ac:dyDescent="0.2">
      <c r="A520" s="462" t="s">
        <v>191</v>
      </c>
      <c r="B520" s="249">
        <v>801</v>
      </c>
      <c r="C520" s="249" t="s">
        <v>312</v>
      </c>
      <c r="D520" s="250" t="s">
        <v>192</v>
      </c>
      <c r="E520" s="249"/>
      <c r="F520" s="249"/>
      <c r="G520" s="257">
        <f>G524+G526</f>
        <v>0</v>
      </c>
      <c r="H520" s="275">
        <f t="shared" ref="H520:R520" si="862">H526</f>
        <v>2007</v>
      </c>
      <c r="I520" s="275">
        <f t="shared" si="862"/>
        <v>0</v>
      </c>
      <c r="J520" s="275">
        <f t="shared" si="862"/>
        <v>2007</v>
      </c>
      <c r="K520" s="275">
        <f t="shared" si="862"/>
        <v>0</v>
      </c>
      <c r="L520" s="275">
        <f t="shared" si="862"/>
        <v>2008</v>
      </c>
      <c r="M520" s="275">
        <f t="shared" si="862"/>
        <v>2008</v>
      </c>
      <c r="N520" s="275">
        <f t="shared" si="862"/>
        <v>0</v>
      </c>
      <c r="O520" s="275">
        <f t="shared" si="862"/>
        <v>2008</v>
      </c>
      <c r="P520" s="275">
        <f t="shared" si="862"/>
        <v>2008</v>
      </c>
      <c r="Q520" s="275">
        <f t="shared" si="862"/>
        <v>0</v>
      </c>
      <c r="R520" s="275">
        <f t="shared" si="862"/>
        <v>2008</v>
      </c>
      <c r="S520" s="275">
        <f>S526</f>
        <v>324</v>
      </c>
      <c r="T520" s="275">
        <f t="shared" ref="T520:V520" si="863">T526</f>
        <v>2966</v>
      </c>
      <c r="U520" s="275">
        <f>U526</f>
        <v>-954.4</v>
      </c>
      <c r="V520" s="275">
        <f t="shared" si="863"/>
        <v>2332</v>
      </c>
      <c r="W520" s="275">
        <f>W526</f>
        <v>-339</v>
      </c>
      <c r="X520" s="275">
        <f t="shared" ref="X520:Z520" si="864">X526</f>
        <v>2083</v>
      </c>
      <c r="Y520" s="275">
        <f>Y526</f>
        <v>0</v>
      </c>
      <c r="Z520" s="275">
        <f t="shared" si="864"/>
        <v>2083</v>
      </c>
    </row>
    <row r="521" spans="1:26" ht="27" hidden="1" customHeight="1" x14ac:dyDescent="0.2">
      <c r="A521" s="259" t="s">
        <v>123</v>
      </c>
      <c r="B521" s="271">
        <v>801</v>
      </c>
      <c r="C521" s="271" t="s">
        <v>312</v>
      </c>
      <c r="D521" s="252" t="s">
        <v>192</v>
      </c>
      <c r="E521" s="260" t="s">
        <v>332</v>
      </c>
      <c r="F521" s="271"/>
      <c r="G521" s="257"/>
      <c r="H521" s="257"/>
      <c r="I521" s="257">
        <f t="shared" ref="I521:Y522" si="865">I522</f>
        <v>-2032.4</v>
      </c>
      <c r="J521" s="257">
        <f t="shared" si="865"/>
        <v>-2032.4</v>
      </c>
      <c r="K521" s="257">
        <f t="shared" si="865"/>
        <v>-2032.4</v>
      </c>
      <c r="L521" s="257">
        <f t="shared" si="865"/>
        <v>-2032.4</v>
      </c>
      <c r="M521" s="257">
        <f t="shared" si="865"/>
        <v>-4064.8</v>
      </c>
      <c r="N521" s="257">
        <f t="shared" si="865"/>
        <v>-4064.8</v>
      </c>
      <c r="O521" s="257">
        <f t="shared" si="865"/>
        <v>-6097.2000000000007</v>
      </c>
      <c r="P521" s="257">
        <f t="shared" si="865"/>
        <v>-6097.2000000000007</v>
      </c>
      <c r="Q521" s="257">
        <f t="shared" si="865"/>
        <v>-10162</v>
      </c>
      <c r="R521" s="257">
        <f t="shared" si="865"/>
        <v>-10162</v>
      </c>
      <c r="S521" s="257">
        <f t="shared" si="865"/>
        <v>-16259.2</v>
      </c>
      <c r="T521" s="257">
        <f t="shared" si="865"/>
        <v>-16259.2</v>
      </c>
      <c r="U521" s="257">
        <f t="shared" si="865"/>
        <v>-26421.200000000001</v>
      </c>
      <c r="V521" s="257">
        <f t="shared" si="865"/>
        <v>-26421.200000000001</v>
      </c>
      <c r="W521" s="257">
        <f t="shared" si="865"/>
        <v>-42680.4</v>
      </c>
      <c r="X521" s="257">
        <f t="shared" si="865"/>
        <v>-42680.4</v>
      </c>
      <c r="Y521" s="257">
        <f t="shared" si="865"/>
        <v>-69101.600000000006</v>
      </c>
      <c r="Z521" s="257">
        <f t="shared" ref="Y521:Z522" si="866">Z522</f>
        <v>-69101.600000000006</v>
      </c>
    </row>
    <row r="522" spans="1:26" hidden="1" x14ac:dyDescent="0.2">
      <c r="A522" s="259" t="s">
        <v>313</v>
      </c>
      <c r="B522" s="271">
        <v>801</v>
      </c>
      <c r="C522" s="271" t="s">
        <v>312</v>
      </c>
      <c r="D522" s="252" t="s">
        <v>192</v>
      </c>
      <c r="E522" s="260" t="s">
        <v>314</v>
      </c>
      <c r="F522" s="271"/>
      <c r="G522" s="257"/>
      <c r="H522" s="257"/>
      <c r="I522" s="257">
        <f t="shared" si="865"/>
        <v>-2032.4</v>
      </c>
      <c r="J522" s="257">
        <f t="shared" si="865"/>
        <v>-2032.4</v>
      </c>
      <c r="K522" s="257">
        <f t="shared" si="865"/>
        <v>-2032.4</v>
      </c>
      <c r="L522" s="257">
        <f t="shared" si="865"/>
        <v>-2032.4</v>
      </c>
      <c r="M522" s="257">
        <f t="shared" si="865"/>
        <v>-4064.8</v>
      </c>
      <c r="N522" s="257">
        <f t="shared" si="865"/>
        <v>-4064.8</v>
      </c>
      <c r="O522" s="257">
        <f t="shared" si="865"/>
        <v>-6097.2000000000007</v>
      </c>
      <c r="P522" s="257">
        <f t="shared" si="865"/>
        <v>-6097.2000000000007</v>
      </c>
      <c r="Q522" s="257">
        <f t="shared" si="865"/>
        <v>-10162</v>
      </c>
      <c r="R522" s="257">
        <f t="shared" si="865"/>
        <v>-10162</v>
      </c>
      <c r="S522" s="257">
        <f t="shared" si="865"/>
        <v>-16259.2</v>
      </c>
      <c r="T522" s="257">
        <f t="shared" si="865"/>
        <v>-16259.2</v>
      </c>
      <c r="U522" s="257">
        <f t="shared" si="865"/>
        <v>-26421.200000000001</v>
      </c>
      <c r="V522" s="257">
        <f t="shared" si="865"/>
        <v>-26421.200000000001</v>
      </c>
      <c r="W522" s="257">
        <f t="shared" si="865"/>
        <v>-42680.4</v>
      </c>
      <c r="X522" s="257">
        <f t="shared" si="865"/>
        <v>-42680.4</v>
      </c>
      <c r="Y522" s="257">
        <f t="shared" si="866"/>
        <v>-69101.600000000006</v>
      </c>
      <c r="Z522" s="257">
        <f t="shared" si="866"/>
        <v>-69101.600000000006</v>
      </c>
    </row>
    <row r="523" spans="1:26" hidden="1" x14ac:dyDescent="0.2">
      <c r="A523" s="259" t="s">
        <v>95</v>
      </c>
      <c r="B523" s="271">
        <v>801</v>
      </c>
      <c r="C523" s="271" t="s">
        <v>312</v>
      </c>
      <c r="D523" s="252" t="s">
        <v>192</v>
      </c>
      <c r="E523" s="260" t="s">
        <v>314</v>
      </c>
      <c r="F523" s="252" t="s">
        <v>96</v>
      </c>
      <c r="G523" s="257"/>
      <c r="H523" s="257"/>
      <c r="I523" s="257">
        <v>-2032.4</v>
      </c>
      <c r="J523" s="257">
        <f>G523+I523</f>
        <v>-2032.4</v>
      </c>
      <c r="K523" s="257">
        <v>-2032.4</v>
      </c>
      <c r="L523" s="257">
        <f>H523+J523</f>
        <v>-2032.4</v>
      </c>
      <c r="M523" s="257">
        <f>I523+K523</f>
        <v>-4064.8</v>
      </c>
      <c r="N523" s="257">
        <f t="shared" ref="N523:O523" si="867">J523+L523</f>
        <v>-4064.8</v>
      </c>
      <c r="O523" s="257">
        <f t="shared" si="867"/>
        <v>-6097.2000000000007</v>
      </c>
      <c r="P523" s="257">
        <f>L523+N523</f>
        <v>-6097.2000000000007</v>
      </c>
      <c r="Q523" s="257">
        <f t="shared" ref="Q523:R523" si="868">M523+O523</f>
        <v>-10162</v>
      </c>
      <c r="R523" s="257">
        <f t="shared" si="868"/>
        <v>-10162</v>
      </c>
      <c r="S523" s="257">
        <f t="shared" ref="S523" si="869">O523+Q523</f>
        <v>-16259.2</v>
      </c>
      <c r="T523" s="257">
        <f t="shared" ref="T523" si="870">P523+R523</f>
        <v>-16259.2</v>
      </c>
      <c r="U523" s="257">
        <f t="shared" ref="U523" si="871">Q523+S523</f>
        <v>-26421.200000000001</v>
      </c>
      <c r="V523" s="257">
        <f t="shared" ref="V523" si="872">R523+T523</f>
        <v>-26421.200000000001</v>
      </c>
      <c r="W523" s="257">
        <f t="shared" ref="W523" si="873">S523+U523</f>
        <v>-42680.4</v>
      </c>
      <c r="X523" s="257">
        <f t="shared" ref="X523" si="874">T523+V523</f>
        <v>-42680.4</v>
      </c>
      <c r="Y523" s="257">
        <f t="shared" ref="Y523" si="875">U523+W523</f>
        <v>-69101.600000000006</v>
      </c>
      <c r="Z523" s="257">
        <f t="shared" ref="Z523" si="876">V523+X523</f>
        <v>-69101.600000000006</v>
      </c>
    </row>
    <row r="524" spans="1:26" ht="18" hidden="1" customHeight="1" x14ac:dyDescent="0.2">
      <c r="A524" s="259" t="s">
        <v>504</v>
      </c>
      <c r="B524" s="271">
        <v>801</v>
      </c>
      <c r="C524" s="271" t="s">
        <v>312</v>
      </c>
      <c r="D524" s="252" t="s">
        <v>192</v>
      </c>
      <c r="E524" s="260" t="s">
        <v>465</v>
      </c>
      <c r="F524" s="252"/>
      <c r="G524" s="257"/>
      <c r="H524" s="257"/>
      <c r="I524" s="257">
        <f>I525</f>
        <v>-2109.1999999999998</v>
      </c>
      <c r="J524" s="257" t="e">
        <f>J525</f>
        <v>#REF!</v>
      </c>
      <c r="K524" s="257">
        <f>K525</f>
        <v>-2109.1999999999998</v>
      </c>
      <c r="L524" s="257" t="e">
        <f>L525</f>
        <v>#REF!</v>
      </c>
      <c r="M524" s="257" t="e">
        <f>M525</f>
        <v>#REF!</v>
      </c>
      <c r="N524" s="257" t="e">
        <f t="shared" ref="N524:Z524" si="877">N525</f>
        <v>#REF!</v>
      </c>
      <c r="O524" s="257" t="e">
        <f t="shared" si="877"/>
        <v>#REF!</v>
      </c>
      <c r="P524" s="257" t="e">
        <f t="shared" si="877"/>
        <v>#REF!</v>
      </c>
      <c r="Q524" s="257" t="e">
        <f t="shared" si="877"/>
        <v>#REF!</v>
      </c>
      <c r="R524" s="257" t="e">
        <f t="shared" si="877"/>
        <v>#REF!</v>
      </c>
      <c r="S524" s="257" t="e">
        <f t="shared" si="877"/>
        <v>#REF!</v>
      </c>
      <c r="T524" s="257" t="e">
        <f t="shared" si="877"/>
        <v>#REF!</v>
      </c>
      <c r="U524" s="257" t="e">
        <f t="shared" si="877"/>
        <v>#REF!</v>
      </c>
      <c r="V524" s="257" t="e">
        <f t="shared" si="877"/>
        <v>#REF!</v>
      </c>
      <c r="W524" s="257" t="e">
        <f t="shared" si="877"/>
        <v>#REF!</v>
      </c>
      <c r="X524" s="257" t="e">
        <f t="shared" si="877"/>
        <v>#REF!</v>
      </c>
      <c r="Y524" s="257" t="e">
        <f t="shared" si="877"/>
        <v>#REF!</v>
      </c>
      <c r="Z524" s="257" t="e">
        <f t="shared" si="877"/>
        <v>#REF!</v>
      </c>
    </row>
    <row r="525" spans="1:26" ht="12.75" hidden="1" customHeight="1" x14ac:dyDescent="0.2">
      <c r="A525" s="259" t="s">
        <v>95</v>
      </c>
      <c r="B525" s="271">
        <v>801</v>
      </c>
      <c r="C525" s="271" t="s">
        <v>312</v>
      </c>
      <c r="D525" s="252" t="s">
        <v>192</v>
      </c>
      <c r="E525" s="260" t="s">
        <v>465</v>
      </c>
      <c r="F525" s="252" t="s">
        <v>96</v>
      </c>
      <c r="G525" s="257"/>
      <c r="H525" s="257"/>
      <c r="I525" s="257">
        <v>-2109.1999999999998</v>
      </c>
      <c r="J525" s="257" t="e">
        <f>#REF!+I525</f>
        <v>#REF!</v>
      </c>
      <c r="K525" s="257">
        <v>-2109.1999999999998</v>
      </c>
      <c r="L525" s="257" t="e">
        <f>#REF!+J525</f>
        <v>#REF!</v>
      </c>
      <c r="M525" s="257" t="e">
        <f>#REF!+K525</f>
        <v>#REF!</v>
      </c>
      <c r="N525" s="257" t="e">
        <f>#REF!+L525</f>
        <v>#REF!</v>
      </c>
      <c r="O525" s="257" t="e">
        <f>#REF!+M525</f>
        <v>#REF!</v>
      </c>
      <c r="P525" s="257" t="e">
        <f>#REF!+N525</f>
        <v>#REF!</v>
      </c>
      <c r="Q525" s="257" t="e">
        <f>#REF!+O525</f>
        <v>#REF!</v>
      </c>
      <c r="R525" s="257" t="e">
        <f>#REF!+P525</f>
        <v>#REF!</v>
      </c>
      <c r="S525" s="257" t="e">
        <f>#REF!+Q525</f>
        <v>#REF!</v>
      </c>
      <c r="T525" s="257" t="e">
        <f>#REF!+R525</f>
        <v>#REF!</v>
      </c>
      <c r="U525" s="257" t="e">
        <f>#REF!+S525</f>
        <v>#REF!</v>
      </c>
      <c r="V525" s="257" t="e">
        <f>#REF!+T525</f>
        <v>#REF!</v>
      </c>
      <c r="W525" s="257" t="e">
        <f>#REF!+U525</f>
        <v>#REF!</v>
      </c>
      <c r="X525" s="257" t="e">
        <f>#REF!+V525</f>
        <v>#REF!</v>
      </c>
      <c r="Y525" s="257" t="e">
        <f>#REF!+W525</f>
        <v>#REF!</v>
      </c>
      <c r="Z525" s="257" t="e">
        <f>#REF!+X525</f>
        <v>#REF!</v>
      </c>
    </row>
    <row r="526" spans="1:26" ht="12.75" customHeight="1" x14ac:dyDescent="0.2">
      <c r="A526" s="259" t="s">
        <v>504</v>
      </c>
      <c r="B526" s="271">
        <v>801</v>
      </c>
      <c r="C526" s="271" t="s">
        <v>312</v>
      </c>
      <c r="D526" s="252" t="s">
        <v>192</v>
      </c>
      <c r="E526" s="260" t="s">
        <v>867</v>
      </c>
      <c r="F526" s="252"/>
      <c r="G526" s="257"/>
      <c r="H526" s="257">
        <f t="shared" ref="H526:Q526" si="878">H527+H528</f>
        <v>2007</v>
      </c>
      <c r="I526" s="257">
        <f t="shared" si="878"/>
        <v>0</v>
      </c>
      <c r="J526" s="257">
        <f t="shared" si="878"/>
        <v>2007</v>
      </c>
      <c r="K526" s="257">
        <f t="shared" si="878"/>
        <v>0</v>
      </c>
      <c r="L526" s="257">
        <f t="shared" si="878"/>
        <v>2008</v>
      </c>
      <c r="M526" s="257">
        <f t="shared" si="878"/>
        <v>2008</v>
      </c>
      <c r="N526" s="257">
        <f t="shared" si="878"/>
        <v>0</v>
      </c>
      <c r="O526" s="257">
        <f t="shared" si="878"/>
        <v>2008</v>
      </c>
      <c r="P526" s="257">
        <f t="shared" si="878"/>
        <v>2008</v>
      </c>
      <c r="Q526" s="257">
        <f t="shared" si="878"/>
        <v>0</v>
      </c>
      <c r="R526" s="257">
        <f>R527+R528+R529+R530</f>
        <v>2008</v>
      </c>
      <c r="S526" s="257">
        <f>S527+S528+S529+S530</f>
        <v>324</v>
      </c>
      <c r="T526" s="257">
        <f t="shared" ref="T526:V526" si="879">T527+T528+T529+T530</f>
        <v>2966</v>
      </c>
      <c r="U526" s="257">
        <f>U527+U528+U529+U530</f>
        <v>-954.4</v>
      </c>
      <c r="V526" s="257">
        <f t="shared" si="879"/>
        <v>2332</v>
      </c>
      <c r="W526" s="257">
        <f>W527+W528+W529+W530</f>
        <v>-339</v>
      </c>
      <c r="X526" s="257">
        <f t="shared" ref="X526:Z526" si="880">X527+X528+X529+X530</f>
        <v>2083</v>
      </c>
      <c r="Y526" s="257">
        <f>Y527+Y528+Y529+Y530</f>
        <v>0</v>
      </c>
      <c r="Z526" s="257">
        <f t="shared" si="880"/>
        <v>2083</v>
      </c>
    </row>
    <row r="527" spans="1:26" ht="12.75" customHeight="1" x14ac:dyDescent="0.2">
      <c r="A527" s="259" t="s">
        <v>95</v>
      </c>
      <c r="B527" s="271">
        <v>801</v>
      </c>
      <c r="C527" s="271" t="s">
        <v>312</v>
      </c>
      <c r="D527" s="252" t="s">
        <v>192</v>
      </c>
      <c r="E527" s="260" t="s">
        <v>867</v>
      </c>
      <c r="F527" s="252" t="s">
        <v>96</v>
      </c>
      <c r="G527" s="257"/>
      <c r="H527" s="257">
        <v>2007</v>
      </c>
      <c r="I527" s="257">
        <v>-465.29</v>
      </c>
      <c r="J527" s="257">
        <f>H527+I527</f>
        <v>1541.71</v>
      </c>
      <c r="K527" s="257">
        <v>0</v>
      </c>
      <c r="L527" s="257">
        <v>1542</v>
      </c>
      <c r="M527" s="257">
        <v>1542</v>
      </c>
      <c r="N527" s="257">
        <v>0</v>
      </c>
      <c r="O527" s="257">
        <f>M527+N527</f>
        <v>1542</v>
      </c>
      <c r="P527" s="257">
        <v>1542</v>
      </c>
      <c r="Q527" s="257">
        <v>0</v>
      </c>
      <c r="R527" s="257">
        <f>P527+Q527</f>
        <v>1542</v>
      </c>
      <c r="S527" s="257">
        <v>249</v>
      </c>
      <c r="T527" s="257">
        <f t="shared" ref="T527:T528" si="881">R527+S527</f>
        <v>1791</v>
      </c>
      <c r="U527" s="257">
        <f>-261+15</f>
        <v>-246</v>
      </c>
      <c r="V527" s="257">
        <v>1791</v>
      </c>
      <c r="W527" s="257">
        <v>-261</v>
      </c>
      <c r="X527" s="257">
        <v>1600</v>
      </c>
      <c r="Y527" s="257">
        <v>0</v>
      </c>
      <c r="Z527" s="257">
        <f t="shared" ref="Z527:Z530" si="882">X527+Y527</f>
        <v>1600</v>
      </c>
    </row>
    <row r="528" spans="1:26" ht="33" customHeight="1" x14ac:dyDescent="0.2">
      <c r="A528" s="375" t="s">
        <v>898</v>
      </c>
      <c r="B528" s="271">
        <v>801</v>
      </c>
      <c r="C528" s="271" t="s">
        <v>312</v>
      </c>
      <c r="D528" s="252" t="s">
        <v>192</v>
      </c>
      <c r="E528" s="260" t="s">
        <v>867</v>
      </c>
      <c r="F528" s="252" t="s">
        <v>896</v>
      </c>
      <c r="G528" s="257"/>
      <c r="H528" s="257">
        <v>0</v>
      </c>
      <c r="I528" s="257">
        <v>465.29</v>
      </c>
      <c r="J528" s="257">
        <f>H528+I528</f>
        <v>465.29</v>
      </c>
      <c r="K528" s="257">
        <v>0</v>
      </c>
      <c r="L528" s="257">
        <v>466</v>
      </c>
      <c r="M528" s="257">
        <v>466</v>
      </c>
      <c r="N528" s="257">
        <v>0</v>
      </c>
      <c r="O528" s="257">
        <f>M528+N528</f>
        <v>466</v>
      </c>
      <c r="P528" s="257">
        <v>466</v>
      </c>
      <c r="Q528" s="257">
        <v>0</v>
      </c>
      <c r="R528" s="257">
        <f t="shared" ref="R528:R594" si="883">P528+Q528</f>
        <v>466</v>
      </c>
      <c r="S528" s="257">
        <v>75</v>
      </c>
      <c r="T528" s="257">
        <f t="shared" si="881"/>
        <v>541</v>
      </c>
      <c r="U528" s="257">
        <f>-79+4.6</f>
        <v>-74.400000000000006</v>
      </c>
      <c r="V528" s="257">
        <v>541</v>
      </c>
      <c r="W528" s="257">
        <v>-78</v>
      </c>
      <c r="X528" s="257">
        <v>483</v>
      </c>
      <c r="Y528" s="257">
        <v>0</v>
      </c>
      <c r="Z528" s="257">
        <f t="shared" si="882"/>
        <v>483</v>
      </c>
    </row>
    <row r="529" spans="1:26" ht="21" hidden="1" customHeight="1" x14ac:dyDescent="0.2">
      <c r="A529" s="259" t="s">
        <v>907</v>
      </c>
      <c r="B529" s="271">
        <v>801</v>
      </c>
      <c r="C529" s="271" t="s">
        <v>312</v>
      </c>
      <c r="D529" s="252" t="s">
        <v>192</v>
      </c>
      <c r="E529" s="260" t="s">
        <v>1016</v>
      </c>
      <c r="F529" s="252" t="s">
        <v>96</v>
      </c>
      <c r="G529" s="257"/>
      <c r="H529" s="257"/>
      <c r="I529" s="257"/>
      <c r="J529" s="257"/>
      <c r="K529" s="257"/>
      <c r="L529" s="257"/>
      <c r="M529" s="257"/>
      <c r="N529" s="257"/>
      <c r="O529" s="257"/>
      <c r="P529" s="257"/>
      <c r="Q529" s="257"/>
      <c r="R529" s="257">
        <v>0</v>
      </c>
      <c r="S529" s="257">
        <v>0</v>
      </c>
      <c r="T529" s="257">
        <v>487</v>
      </c>
      <c r="U529" s="257">
        <v>-487</v>
      </c>
      <c r="V529" s="257">
        <f t="shared" ref="V529:V530" si="884">T529+U529</f>
        <v>0</v>
      </c>
      <c r="W529" s="257">
        <v>0</v>
      </c>
      <c r="X529" s="257">
        <f t="shared" ref="X529:X530" si="885">V529+W529</f>
        <v>0</v>
      </c>
      <c r="Y529" s="257">
        <v>0</v>
      </c>
      <c r="Z529" s="257">
        <f t="shared" si="882"/>
        <v>0</v>
      </c>
    </row>
    <row r="530" spans="1:26" ht="33" hidden="1" customHeight="1" x14ac:dyDescent="0.2">
      <c r="A530" s="375" t="s">
        <v>898</v>
      </c>
      <c r="B530" s="271">
        <v>801</v>
      </c>
      <c r="C530" s="271" t="s">
        <v>312</v>
      </c>
      <c r="D530" s="252" t="s">
        <v>192</v>
      </c>
      <c r="E530" s="260" t="s">
        <v>1016</v>
      </c>
      <c r="F530" s="252" t="s">
        <v>896</v>
      </c>
      <c r="G530" s="257"/>
      <c r="H530" s="257"/>
      <c r="I530" s="257"/>
      <c r="J530" s="257"/>
      <c r="K530" s="257"/>
      <c r="L530" s="257"/>
      <c r="M530" s="257"/>
      <c r="N530" s="257"/>
      <c r="O530" s="257"/>
      <c r="P530" s="257"/>
      <c r="Q530" s="257"/>
      <c r="R530" s="257">
        <v>0</v>
      </c>
      <c r="S530" s="257">
        <v>0</v>
      </c>
      <c r="T530" s="257">
        <v>147</v>
      </c>
      <c r="U530" s="257">
        <v>-147</v>
      </c>
      <c r="V530" s="257">
        <f t="shared" si="884"/>
        <v>0</v>
      </c>
      <c r="W530" s="257">
        <v>0</v>
      </c>
      <c r="X530" s="257">
        <f t="shared" si="885"/>
        <v>0</v>
      </c>
      <c r="Y530" s="257">
        <v>0</v>
      </c>
      <c r="Z530" s="257">
        <f t="shared" si="882"/>
        <v>0</v>
      </c>
    </row>
    <row r="531" spans="1:26" s="430" customFormat="1" ht="31.5" customHeight="1" x14ac:dyDescent="0.2">
      <c r="A531" s="462" t="s">
        <v>195</v>
      </c>
      <c r="B531" s="249">
        <v>801</v>
      </c>
      <c r="C531" s="249" t="s">
        <v>312</v>
      </c>
      <c r="D531" s="250" t="s">
        <v>196</v>
      </c>
      <c r="E531" s="249"/>
      <c r="F531" s="249"/>
      <c r="G531" s="275" t="e">
        <f>G543+G549+G558+G566+G577+G580</f>
        <v>#REF!</v>
      </c>
      <c r="H531" s="275" t="e">
        <f>H566+#REF!+H577+#REF!+H580</f>
        <v>#REF!</v>
      </c>
      <c r="I531" s="275" t="e">
        <f>I566+#REF!+I577+#REF!+I580</f>
        <v>#REF!</v>
      </c>
      <c r="J531" s="275" t="e">
        <f>J566+#REF!+J577+#REF!+J580</f>
        <v>#REF!</v>
      </c>
      <c r="K531" s="275" t="e">
        <f>K566+#REF!+K577+#REF!+K580</f>
        <v>#REF!</v>
      </c>
      <c r="L531" s="275" t="e">
        <f>L566+#REF!+L577+#REF!+L580</f>
        <v>#REF!</v>
      </c>
      <c r="M531" s="275" t="e">
        <f>M566+#REF!+M577+#REF!+M580</f>
        <v>#REF!</v>
      </c>
      <c r="N531" s="275" t="e">
        <f>N566+#REF!+N577+#REF!+N580</f>
        <v>#REF!</v>
      </c>
      <c r="O531" s="275" t="e">
        <f>O566+#REF!+O577+#REF!+O580</f>
        <v>#REF!</v>
      </c>
      <c r="P531" s="275" t="e">
        <f>P566+#REF!+P577+#REF!+P580</f>
        <v>#REF!</v>
      </c>
      <c r="Q531" s="275" t="e">
        <f>Q566+#REF!+Q577+#REF!+Q580</f>
        <v>#REF!</v>
      </c>
      <c r="R531" s="275" t="e">
        <f>R566+#REF!+R577+R580</f>
        <v>#REF!</v>
      </c>
      <c r="S531" s="275" t="e">
        <f>S566+#REF!+S577+S580</f>
        <v>#REF!</v>
      </c>
      <c r="T531" s="275" t="e">
        <f>T566+#REF!+T577+T580</f>
        <v>#REF!</v>
      </c>
      <c r="U531" s="275" t="e">
        <f>U566+#REF!+U577+U580</f>
        <v>#REF!</v>
      </c>
      <c r="V531" s="275" t="e">
        <f>V566+#REF!+V577+V580</f>
        <v>#REF!</v>
      </c>
      <c r="W531" s="275" t="e">
        <f>W566+#REF!+W577+W580</f>
        <v>#REF!</v>
      </c>
      <c r="X531" s="275">
        <f>X566+X577+X580</f>
        <v>17611.7</v>
      </c>
      <c r="Y531" s="275">
        <f>Y566+Y577+Y580</f>
        <v>3871.3999999999996</v>
      </c>
      <c r="Z531" s="275">
        <f>Z566+Z577+Z580</f>
        <v>21483.100000000002</v>
      </c>
    </row>
    <row r="532" spans="1:26" ht="24.75" hidden="1" customHeight="1" x14ac:dyDescent="0.2">
      <c r="A532" s="259" t="s">
        <v>123</v>
      </c>
      <c r="B532" s="271">
        <v>801</v>
      </c>
      <c r="C532" s="271" t="s">
        <v>312</v>
      </c>
      <c r="D532" s="252" t="s">
        <v>196</v>
      </c>
      <c r="E532" s="260" t="s">
        <v>332</v>
      </c>
      <c r="F532" s="271"/>
      <c r="G532" s="257"/>
      <c r="H532" s="257"/>
      <c r="I532" s="257">
        <f>I533</f>
        <v>-15113.39</v>
      </c>
      <c r="J532" s="257">
        <f>J533</f>
        <v>-15113.39</v>
      </c>
      <c r="K532" s="257">
        <f>K533</f>
        <v>-15113.39</v>
      </c>
      <c r="L532" s="257">
        <f>L533</f>
        <v>-15113.39</v>
      </c>
      <c r="M532" s="257">
        <f>M533</f>
        <v>-30226.78</v>
      </c>
      <c r="N532" s="257">
        <f t="shared" ref="N532:Z532" si="886">N533</f>
        <v>-30226.78</v>
      </c>
      <c r="O532" s="257">
        <f t="shared" si="886"/>
        <v>-45340.17</v>
      </c>
      <c r="P532" s="257">
        <f t="shared" si="886"/>
        <v>-45340.17</v>
      </c>
      <c r="Q532" s="257">
        <f t="shared" si="886"/>
        <v>-75566.95</v>
      </c>
      <c r="R532" s="257">
        <f t="shared" si="886"/>
        <v>-75566.95</v>
      </c>
      <c r="S532" s="257">
        <f t="shared" si="886"/>
        <v>-120907.12</v>
      </c>
      <c r="T532" s="257">
        <f t="shared" si="886"/>
        <v>-120907.12</v>
      </c>
      <c r="U532" s="257">
        <f t="shared" si="886"/>
        <v>-196474.06999999998</v>
      </c>
      <c r="V532" s="257">
        <f t="shared" si="886"/>
        <v>-196474.06999999998</v>
      </c>
      <c r="W532" s="257">
        <f t="shared" si="886"/>
        <v>-317381.19</v>
      </c>
      <c r="X532" s="257">
        <f t="shared" si="886"/>
        <v>-317381.19</v>
      </c>
      <c r="Y532" s="257">
        <f t="shared" si="886"/>
        <v>-513855.26</v>
      </c>
      <c r="Z532" s="257">
        <f t="shared" si="886"/>
        <v>-513855.26</v>
      </c>
    </row>
    <row r="533" spans="1:26" ht="16.5" hidden="1" customHeight="1" x14ac:dyDescent="0.2">
      <c r="A533" s="259" t="s">
        <v>315</v>
      </c>
      <c r="B533" s="271">
        <v>801</v>
      </c>
      <c r="C533" s="271" t="s">
        <v>312</v>
      </c>
      <c r="D533" s="252" t="s">
        <v>196</v>
      </c>
      <c r="E533" s="260" t="s">
        <v>334</v>
      </c>
      <c r="F533" s="252"/>
      <c r="G533" s="257"/>
      <c r="H533" s="257"/>
      <c r="I533" s="257">
        <f>I540+I534+I535+I536+I537+I539+I541+I542+I538</f>
        <v>-15113.39</v>
      </c>
      <c r="J533" s="257">
        <f>J540+J534+J535+J536+J537+J539+J541+J542+J538</f>
        <v>-15113.39</v>
      </c>
      <c r="K533" s="257">
        <f>K540+K534+K535+K536+K537+K539+K541+K542+K538</f>
        <v>-15113.39</v>
      </c>
      <c r="L533" s="257">
        <f>L540+L534+L535+L536+L537+L539+L541+L542+L538</f>
        <v>-15113.39</v>
      </c>
      <c r="M533" s="257">
        <f>M540+M534+M535+M536+M537+M539+M541+M542+M538</f>
        <v>-30226.78</v>
      </c>
      <c r="N533" s="257">
        <f t="shared" ref="N533:R533" si="887">N540+N534+N535+N536+N537+N539+N541+N542+N538</f>
        <v>-30226.78</v>
      </c>
      <c r="O533" s="257">
        <f t="shared" si="887"/>
        <v>-45340.17</v>
      </c>
      <c r="P533" s="257">
        <f t="shared" si="887"/>
        <v>-45340.17</v>
      </c>
      <c r="Q533" s="257">
        <f t="shared" si="887"/>
        <v>-75566.95</v>
      </c>
      <c r="R533" s="257">
        <f t="shared" si="887"/>
        <v>-75566.95</v>
      </c>
      <c r="S533" s="257">
        <f t="shared" ref="S533:T533" si="888">S540+S534+S535+S536+S537+S539+S541+S542+S538</f>
        <v>-120907.12</v>
      </c>
      <c r="T533" s="257">
        <f t="shared" si="888"/>
        <v>-120907.12</v>
      </c>
      <c r="U533" s="257">
        <f t="shared" ref="U533:V533" si="889">U540+U534+U535+U536+U537+U539+U541+U542+U538</f>
        <v>-196474.06999999998</v>
      </c>
      <c r="V533" s="257">
        <f t="shared" si="889"/>
        <v>-196474.06999999998</v>
      </c>
      <c r="W533" s="257">
        <f t="shared" ref="W533:X533" si="890">W540+W534+W535+W536+W537+W539+W541+W542+W538</f>
        <v>-317381.19</v>
      </c>
      <c r="X533" s="257">
        <f t="shared" si="890"/>
        <v>-317381.19</v>
      </c>
      <c r="Y533" s="257">
        <f t="shared" ref="Y533:Z533" si="891">Y540+Y534+Y535+Y536+Y537+Y539+Y541+Y542+Y538</f>
        <v>-513855.26</v>
      </c>
      <c r="Z533" s="257">
        <f t="shared" si="891"/>
        <v>-513855.26</v>
      </c>
    </row>
    <row r="534" spans="1:26" ht="18.75" hidden="1" customHeight="1" x14ac:dyDescent="0.2">
      <c r="A534" s="259" t="s">
        <v>95</v>
      </c>
      <c r="B534" s="271">
        <v>801</v>
      </c>
      <c r="C534" s="271" t="s">
        <v>312</v>
      </c>
      <c r="D534" s="252" t="s">
        <v>196</v>
      </c>
      <c r="E534" s="260" t="s">
        <v>334</v>
      </c>
      <c r="F534" s="252" t="s">
        <v>96</v>
      </c>
      <c r="G534" s="257"/>
      <c r="H534" s="257"/>
      <c r="I534" s="257">
        <v>-9856.1</v>
      </c>
      <c r="J534" s="257">
        <f t="shared" ref="J534:J542" si="892">G534+I534</f>
        <v>-9856.1</v>
      </c>
      <c r="K534" s="257">
        <v>-9856.1</v>
      </c>
      <c r="L534" s="257">
        <f t="shared" ref="L534:R542" si="893">H534+J534</f>
        <v>-9856.1</v>
      </c>
      <c r="M534" s="257">
        <f t="shared" si="893"/>
        <v>-19712.2</v>
      </c>
      <c r="N534" s="257">
        <f t="shared" si="893"/>
        <v>-19712.2</v>
      </c>
      <c r="O534" s="257">
        <f t="shared" si="893"/>
        <v>-29568.300000000003</v>
      </c>
      <c r="P534" s="257">
        <f t="shared" si="893"/>
        <v>-29568.300000000003</v>
      </c>
      <c r="Q534" s="257">
        <f t="shared" si="893"/>
        <v>-49280.5</v>
      </c>
      <c r="R534" s="257">
        <f t="shared" si="893"/>
        <v>-49280.5</v>
      </c>
      <c r="S534" s="257">
        <f t="shared" ref="S534:S542" si="894">O534+Q534</f>
        <v>-78848.800000000003</v>
      </c>
      <c r="T534" s="257">
        <f t="shared" ref="T534:T542" si="895">P534+R534</f>
        <v>-78848.800000000003</v>
      </c>
      <c r="U534" s="257">
        <f t="shared" ref="U534:U542" si="896">Q534+S534</f>
        <v>-128129.3</v>
      </c>
      <c r="V534" s="257">
        <f t="shared" ref="V534:V542" si="897">R534+T534</f>
        <v>-128129.3</v>
      </c>
      <c r="W534" s="257">
        <f t="shared" ref="W534:W542" si="898">S534+U534</f>
        <v>-206978.1</v>
      </c>
      <c r="X534" s="257">
        <f t="shared" ref="X534:X542" si="899">T534+V534</f>
        <v>-206978.1</v>
      </c>
      <c r="Y534" s="257">
        <f t="shared" ref="Y534:Y542" si="900">U534+W534</f>
        <v>-335107.40000000002</v>
      </c>
      <c r="Z534" s="257">
        <f t="shared" ref="Z534:Z542" si="901">V534+X534</f>
        <v>-335107.40000000002</v>
      </c>
    </row>
    <row r="535" spans="1:26" ht="12" hidden="1" customHeight="1" x14ac:dyDescent="0.2">
      <c r="A535" s="259" t="s">
        <v>97</v>
      </c>
      <c r="B535" s="271">
        <v>801</v>
      </c>
      <c r="C535" s="271" t="s">
        <v>312</v>
      </c>
      <c r="D535" s="252" t="s">
        <v>196</v>
      </c>
      <c r="E535" s="260" t="s">
        <v>334</v>
      </c>
      <c r="F535" s="252" t="s">
        <v>98</v>
      </c>
      <c r="G535" s="257"/>
      <c r="H535" s="257"/>
      <c r="I535" s="257">
        <v>-480</v>
      </c>
      <c r="J535" s="257">
        <f t="shared" si="892"/>
        <v>-480</v>
      </c>
      <c r="K535" s="257">
        <v>-480</v>
      </c>
      <c r="L535" s="257">
        <f t="shared" si="893"/>
        <v>-480</v>
      </c>
      <c r="M535" s="257">
        <f t="shared" si="893"/>
        <v>-960</v>
      </c>
      <c r="N535" s="257">
        <f t="shared" si="893"/>
        <v>-960</v>
      </c>
      <c r="O535" s="257">
        <f t="shared" si="893"/>
        <v>-1440</v>
      </c>
      <c r="P535" s="257">
        <f t="shared" si="893"/>
        <v>-1440</v>
      </c>
      <c r="Q535" s="257">
        <f t="shared" si="893"/>
        <v>-2400</v>
      </c>
      <c r="R535" s="257">
        <f t="shared" si="893"/>
        <v>-2400</v>
      </c>
      <c r="S535" s="257">
        <f t="shared" si="894"/>
        <v>-3840</v>
      </c>
      <c r="T535" s="257">
        <f t="shared" si="895"/>
        <v>-3840</v>
      </c>
      <c r="U535" s="257">
        <f t="shared" si="896"/>
        <v>-6240</v>
      </c>
      <c r="V535" s="257">
        <f t="shared" si="897"/>
        <v>-6240</v>
      </c>
      <c r="W535" s="257">
        <f t="shared" si="898"/>
        <v>-10080</v>
      </c>
      <c r="X535" s="257">
        <f t="shared" si="899"/>
        <v>-10080</v>
      </c>
      <c r="Y535" s="257">
        <f t="shared" si="900"/>
        <v>-16320</v>
      </c>
      <c r="Z535" s="257">
        <f t="shared" si="901"/>
        <v>-16320</v>
      </c>
    </row>
    <row r="536" spans="1:26" ht="25.5" hidden="1" customHeight="1" x14ac:dyDescent="0.2">
      <c r="A536" s="259" t="s">
        <v>99</v>
      </c>
      <c r="B536" s="271">
        <v>801</v>
      </c>
      <c r="C536" s="271" t="s">
        <v>312</v>
      </c>
      <c r="D536" s="252" t="s">
        <v>196</v>
      </c>
      <c r="E536" s="260" t="s">
        <v>401</v>
      </c>
      <c r="F536" s="252" t="s">
        <v>100</v>
      </c>
      <c r="G536" s="257"/>
      <c r="H536" s="257"/>
      <c r="I536" s="257"/>
      <c r="J536" s="257">
        <f t="shared" si="892"/>
        <v>0</v>
      </c>
      <c r="K536" s="257"/>
      <c r="L536" s="257">
        <f t="shared" si="893"/>
        <v>0</v>
      </c>
      <c r="M536" s="257">
        <f t="shared" si="893"/>
        <v>0</v>
      </c>
      <c r="N536" s="257">
        <f t="shared" si="893"/>
        <v>0</v>
      </c>
      <c r="O536" s="257">
        <f t="shared" si="893"/>
        <v>0</v>
      </c>
      <c r="P536" s="257">
        <f t="shared" si="893"/>
        <v>0</v>
      </c>
      <c r="Q536" s="257">
        <f t="shared" si="893"/>
        <v>0</v>
      </c>
      <c r="R536" s="257">
        <f t="shared" si="893"/>
        <v>0</v>
      </c>
      <c r="S536" s="257">
        <f t="shared" si="894"/>
        <v>0</v>
      </c>
      <c r="T536" s="257">
        <f t="shared" si="895"/>
        <v>0</v>
      </c>
      <c r="U536" s="257">
        <f t="shared" si="896"/>
        <v>0</v>
      </c>
      <c r="V536" s="257">
        <f t="shared" si="897"/>
        <v>0</v>
      </c>
      <c r="W536" s="257">
        <f t="shared" si="898"/>
        <v>0</v>
      </c>
      <c r="X536" s="257">
        <f t="shared" si="899"/>
        <v>0</v>
      </c>
      <c r="Y536" s="257">
        <f t="shared" si="900"/>
        <v>0</v>
      </c>
      <c r="Z536" s="257">
        <f t="shared" si="901"/>
        <v>0</v>
      </c>
    </row>
    <row r="537" spans="1:26" ht="25.5" hidden="1" customHeight="1" x14ac:dyDescent="0.2">
      <c r="A537" s="259" t="s">
        <v>101</v>
      </c>
      <c r="B537" s="271">
        <v>801</v>
      </c>
      <c r="C537" s="271" t="s">
        <v>312</v>
      </c>
      <c r="D537" s="252" t="s">
        <v>196</v>
      </c>
      <c r="E537" s="260" t="s">
        <v>401</v>
      </c>
      <c r="F537" s="252" t="s">
        <v>102</v>
      </c>
      <c r="G537" s="257"/>
      <c r="H537" s="257"/>
      <c r="I537" s="257"/>
      <c r="J537" s="257">
        <f t="shared" si="892"/>
        <v>0</v>
      </c>
      <c r="K537" s="257"/>
      <c r="L537" s="257">
        <f t="shared" si="893"/>
        <v>0</v>
      </c>
      <c r="M537" s="257">
        <f t="shared" si="893"/>
        <v>0</v>
      </c>
      <c r="N537" s="257">
        <f t="shared" si="893"/>
        <v>0</v>
      </c>
      <c r="O537" s="257">
        <f t="shared" si="893"/>
        <v>0</v>
      </c>
      <c r="P537" s="257">
        <f t="shared" si="893"/>
        <v>0</v>
      </c>
      <c r="Q537" s="257">
        <f t="shared" si="893"/>
        <v>0</v>
      </c>
      <c r="R537" s="257">
        <f t="shared" si="893"/>
        <v>0</v>
      </c>
      <c r="S537" s="257">
        <f t="shared" si="894"/>
        <v>0</v>
      </c>
      <c r="T537" s="257">
        <f t="shared" si="895"/>
        <v>0</v>
      </c>
      <c r="U537" s="257">
        <f t="shared" si="896"/>
        <v>0</v>
      </c>
      <c r="V537" s="257">
        <f t="shared" si="897"/>
        <v>0</v>
      </c>
      <c r="W537" s="257">
        <f t="shared" si="898"/>
        <v>0</v>
      </c>
      <c r="X537" s="257">
        <f t="shared" si="899"/>
        <v>0</v>
      </c>
      <c r="Y537" s="257">
        <f t="shared" si="900"/>
        <v>0</v>
      </c>
      <c r="Z537" s="257">
        <f t="shared" si="901"/>
        <v>0</v>
      </c>
    </row>
    <row r="538" spans="1:26" ht="18" hidden="1" customHeight="1" x14ac:dyDescent="0.2">
      <c r="A538" s="259" t="s">
        <v>99</v>
      </c>
      <c r="B538" s="271">
        <v>801</v>
      </c>
      <c r="C538" s="271" t="s">
        <v>312</v>
      </c>
      <c r="D538" s="252" t="s">
        <v>196</v>
      </c>
      <c r="E538" s="260" t="s">
        <v>334</v>
      </c>
      <c r="F538" s="252" t="s">
        <v>100</v>
      </c>
      <c r="G538" s="257"/>
      <c r="H538" s="257"/>
      <c r="I538" s="257">
        <v>-500</v>
      </c>
      <c r="J538" s="257">
        <f t="shared" si="892"/>
        <v>-500</v>
      </c>
      <c r="K538" s="257">
        <v>-500</v>
      </c>
      <c r="L538" s="257">
        <f t="shared" si="893"/>
        <v>-500</v>
      </c>
      <c r="M538" s="257">
        <f t="shared" si="893"/>
        <v>-1000</v>
      </c>
      <c r="N538" s="257">
        <f t="shared" si="893"/>
        <v>-1000</v>
      </c>
      <c r="O538" s="257">
        <f t="shared" si="893"/>
        <v>-1500</v>
      </c>
      <c r="P538" s="257">
        <f t="shared" si="893"/>
        <v>-1500</v>
      </c>
      <c r="Q538" s="257">
        <f t="shared" si="893"/>
        <v>-2500</v>
      </c>
      <c r="R538" s="257">
        <f t="shared" si="893"/>
        <v>-2500</v>
      </c>
      <c r="S538" s="257">
        <f t="shared" si="894"/>
        <v>-4000</v>
      </c>
      <c r="T538" s="257">
        <f t="shared" si="895"/>
        <v>-4000</v>
      </c>
      <c r="U538" s="257">
        <f t="shared" si="896"/>
        <v>-6500</v>
      </c>
      <c r="V538" s="257">
        <f t="shared" si="897"/>
        <v>-6500</v>
      </c>
      <c r="W538" s="257">
        <f t="shared" si="898"/>
        <v>-10500</v>
      </c>
      <c r="X538" s="257">
        <f t="shared" si="899"/>
        <v>-10500</v>
      </c>
      <c r="Y538" s="257">
        <f t="shared" si="900"/>
        <v>-17000</v>
      </c>
      <c r="Z538" s="257">
        <f t="shared" si="901"/>
        <v>-17000</v>
      </c>
    </row>
    <row r="539" spans="1:26" ht="17.25" hidden="1" customHeight="1" x14ac:dyDescent="0.2">
      <c r="A539" s="259" t="s">
        <v>93</v>
      </c>
      <c r="B539" s="271">
        <v>801</v>
      </c>
      <c r="C539" s="271" t="s">
        <v>312</v>
      </c>
      <c r="D539" s="252" t="s">
        <v>196</v>
      </c>
      <c r="E539" s="260" t="s">
        <v>334</v>
      </c>
      <c r="F539" s="252" t="s">
        <v>94</v>
      </c>
      <c r="G539" s="257"/>
      <c r="H539" s="257"/>
      <c r="I539" s="257">
        <v>-4027.29</v>
      </c>
      <c r="J539" s="257">
        <f t="shared" si="892"/>
        <v>-4027.29</v>
      </c>
      <c r="K539" s="257">
        <v>-4027.29</v>
      </c>
      <c r="L539" s="257">
        <f t="shared" si="893"/>
        <v>-4027.29</v>
      </c>
      <c r="M539" s="257">
        <f t="shared" si="893"/>
        <v>-8054.58</v>
      </c>
      <c r="N539" s="257">
        <f t="shared" si="893"/>
        <v>-8054.58</v>
      </c>
      <c r="O539" s="257">
        <f t="shared" si="893"/>
        <v>-12081.869999999999</v>
      </c>
      <c r="P539" s="257">
        <f t="shared" si="893"/>
        <v>-12081.869999999999</v>
      </c>
      <c r="Q539" s="257">
        <f t="shared" si="893"/>
        <v>-20136.449999999997</v>
      </c>
      <c r="R539" s="257">
        <f t="shared" si="893"/>
        <v>-20136.449999999997</v>
      </c>
      <c r="S539" s="257">
        <f t="shared" si="894"/>
        <v>-32218.319999999996</v>
      </c>
      <c r="T539" s="257">
        <f t="shared" si="895"/>
        <v>-32218.319999999996</v>
      </c>
      <c r="U539" s="257">
        <f t="shared" si="896"/>
        <v>-52354.76999999999</v>
      </c>
      <c r="V539" s="257">
        <f t="shared" si="897"/>
        <v>-52354.76999999999</v>
      </c>
      <c r="W539" s="257">
        <f t="shared" si="898"/>
        <v>-84573.089999999982</v>
      </c>
      <c r="X539" s="257">
        <f t="shared" si="899"/>
        <v>-84573.089999999982</v>
      </c>
      <c r="Y539" s="257">
        <f t="shared" si="900"/>
        <v>-136927.85999999999</v>
      </c>
      <c r="Z539" s="257">
        <f t="shared" si="901"/>
        <v>-136927.85999999999</v>
      </c>
    </row>
    <row r="540" spans="1:26" ht="12.75" hidden="1" customHeight="1" x14ac:dyDescent="0.2">
      <c r="A540" s="259" t="s">
        <v>320</v>
      </c>
      <c r="B540" s="271">
        <v>801</v>
      </c>
      <c r="C540" s="271" t="s">
        <v>312</v>
      </c>
      <c r="D540" s="252" t="s">
        <v>196</v>
      </c>
      <c r="E540" s="260" t="s">
        <v>334</v>
      </c>
      <c r="F540" s="252" t="s">
        <v>64</v>
      </c>
      <c r="G540" s="257"/>
      <c r="H540" s="257"/>
      <c r="I540" s="257"/>
      <c r="J540" s="257">
        <f t="shared" si="892"/>
        <v>0</v>
      </c>
      <c r="K540" s="257"/>
      <c r="L540" s="257">
        <f t="shared" si="893"/>
        <v>0</v>
      </c>
      <c r="M540" s="257">
        <f t="shared" si="893"/>
        <v>0</v>
      </c>
      <c r="N540" s="257">
        <f t="shared" si="893"/>
        <v>0</v>
      </c>
      <c r="O540" s="257">
        <f t="shared" si="893"/>
        <v>0</v>
      </c>
      <c r="P540" s="257">
        <f t="shared" si="893"/>
        <v>0</v>
      </c>
      <c r="Q540" s="257">
        <f t="shared" si="893"/>
        <v>0</v>
      </c>
      <c r="R540" s="257">
        <f t="shared" si="893"/>
        <v>0</v>
      </c>
      <c r="S540" s="257">
        <f t="shared" si="894"/>
        <v>0</v>
      </c>
      <c r="T540" s="257">
        <f t="shared" si="895"/>
        <v>0</v>
      </c>
      <c r="U540" s="257">
        <f t="shared" si="896"/>
        <v>0</v>
      </c>
      <c r="V540" s="257">
        <f t="shared" si="897"/>
        <v>0</v>
      </c>
      <c r="W540" s="257">
        <f t="shared" si="898"/>
        <v>0</v>
      </c>
      <c r="X540" s="257">
        <f t="shared" si="899"/>
        <v>0</v>
      </c>
      <c r="Y540" s="257">
        <f t="shared" si="900"/>
        <v>0</v>
      </c>
      <c r="Z540" s="257">
        <f t="shared" si="901"/>
        <v>0</v>
      </c>
    </row>
    <row r="541" spans="1:26" hidden="1" x14ac:dyDescent="0.2">
      <c r="A541" s="259" t="s">
        <v>103</v>
      </c>
      <c r="B541" s="271">
        <v>801</v>
      </c>
      <c r="C541" s="271" t="s">
        <v>312</v>
      </c>
      <c r="D541" s="252" t="s">
        <v>196</v>
      </c>
      <c r="E541" s="260" t="s">
        <v>334</v>
      </c>
      <c r="F541" s="252" t="s">
        <v>104</v>
      </c>
      <c r="G541" s="257"/>
      <c r="H541" s="257"/>
      <c r="I541" s="257">
        <v>-210</v>
      </c>
      <c r="J541" s="257">
        <f t="shared" si="892"/>
        <v>-210</v>
      </c>
      <c r="K541" s="257">
        <v>-210</v>
      </c>
      <c r="L541" s="257">
        <f t="shared" si="893"/>
        <v>-210</v>
      </c>
      <c r="M541" s="257">
        <f t="shared" si="893"/>
        <v>-420</v>
      </c>
      <c r="N541" s="257">
        <f t="shared" si="893"/>
        <v>-420</v>
      </c>
      <c r="O541" s="257">
        <f t="shared" si="893"/>
        <v>-630</v>
      </c>
      <c r="P541" s="257">
        <f t="shared" si="893"/>
        <v>-630</v>
      </c>
      <c r="Q541" s="257">
        <f t="shared" si="893"/>
        <v>-1050</v>
      </c>
      <c r="R541" s="257">
        <f t="shared" si="893"/>
        <v>-1050</v>
      </c>
      <c r="S541" s="257">
        <f t="shared" si="894"/>
        <v>-1680</v>
      </c>
      <c r="T541" s="257">
        <f t="shared" si="895"/>
        <v>-1680</v>
      </c>
      <c r="U541" s="257">
        <f t="shared" si="896"/>
        <v>-2730</v>
      </c>
      <c r="V541" s="257">
        <f t="shared" si="897"/>
        <v>-2730</v>
      </c>
      <c r="W541" s="257">
        <f t="shared" si="898"/>
        <v>-4410</v>
      </c>
      <c r="X541" s="257">
        <f t="shared" si="899"/>
        <v>-4410</v>
      </c>
      <c r="Y541" s="257">
        <f t="shared" si="900"/>
        <v>-7140</v>
      </c>
      <c r="Z541" s="257">
        <f t="shared" si="901"/>
        <v>-7140</v>
      </c>
    </row>
    <row r="542" spans="1:26" hidden="1" x14ac:dyDescent="0.2">
      <c r="A542" s="259" t="s">
        <v>105</v>
      </c>
      <c r="B542" s="271">
        <v>801</v>
      </c>
      <c r="C542" s="271" t="s">
        <v>312</v>
      </c>
      <c r="D542" s="252" t="s">
        <v>196</v>
      </c>
      <c r="E542" s="260" t="s">
        <v>334</v>
      </c>
      <c r="F542" s="252" t="s">
        <v>106</v>
      </c>
      <c r="G542" s="257"/>
      <c r="H542" s="257"/>
      <c r="I542" s="257">
        <v>-40</v>
      </c>
      <c r="J542" s="257">
        <f t="shared" si="892"/>
        <v>-40</v>
      </c>
      <c r="K542" s="257">
        <v>-40</v>
      </c>
      <c r="L542" s="257">
        <f t="shared" si="893"/>
        <v>-40</v>
      </c>
      <c r="M542" s="257">
        <f t="shared" si="893"/>
        <v>-80</v>
      </c>
      <c r="N542" s="257">
        <f t="shared" si="893"/>
        <v>-80</v>
      </c>
      <c r="O542" s="257">
        <f t="shared" si="893"/>
        <v>-120</v>
      </c>
      <c r="P542" s="257">
        <f t="shared" si="893"/>
        <v>-120</v>
      </c>
      <c r="Q542" s="257">
        <f t="shared" si="893"/>
        <v>-200</v>
      </c>
      <c r="R542" s="257">
        <f t="shared" si="893"/>
        <v>-200</v>
      </c>
      <c r="S542" s="257">
        <f t="shared" si="894"/>
        <v>-320</v>
      </c>
      <c r="T542" s="257">
        <f t="shared" si="895"/>
        <v>-320</v>
      </c>
      <c r="U542" s="257">
        <f t="shared" si="896"/>
        <v>-520</v>
      </c>
      <c r="V542" s="257">
        <f t="shared" si="897"/>
        <v>-520</v>
      </c>
      <c r="W542" s="257">
        <f t="shared" si="898"/>
        <v>-840</v>
      </c>
      <c r="X542" s="257">
        <f t="shared" si="899"/>
        <v>-840</v>
      </c>
      <c r="Y542" s="257">
        <f t="shared" si="900"/>
        <v>-1360</v>
      </c>
      <c r="Z542" s="257">
        <f t="shared" si="901"/>
        <v>-1360</v>
      </c>
    </row>
    <row r="543" spans="1:26" ht="60.75" hidden="1" customHeight="1" x14ac:dyDescent="0.2">
      <c r="A543" s="270" t="s">
        <v>733</v>
      </c>
      <c r="B543" s="271">
        <v>801</v>
      </c>
      <c r="C543" s="272" t="s">
        <v>190</v>
      </c>
      <c r="D543" s="272" t="s">
        <v>196</v>
      </c>
      <c r="E543" s="272" t="s">
        <v>442</v>
      </c>
      <c r="F543" s="249"/>
      <c r="G543" s="257"/>
      <c r="H543" s="257"/>
      <c r="I543" s="257">
        <f>I544</f>
        <v>-31.5</v>
      </c>
      <c r="J543" s="257" t="e">
        <f>J544</f>
        <v>#REF!</v>
      </c>
      <c r="K543" s="257">
        <f>K544</f>
        <v>-31.5</v>
      </c>
      <c r="L543" s="257" t="e">
        <f>L544</f>
        <v>#REF!</v>
      </c>
      <c r="M543" s="257" t="e">
        <f>M544</f>
        <v>#REF!</v>
      </c>
      <c r="N543" s="257" t="e">
        <f t="shared" ref="N543:Z543" si="902">N544</f>
        <v>#REF!</v>
      </c>
      <c r="O543" s="257" t="e">
        <f t="shared" si="902"/>
        <v>#REF!</v>
      </c>
      <c r="P543" s="257" t="e">
        <f t="shared" si="902"/>
        <v>#REF!</v>
      </c>
      <c r="Q543" s="257" t="e">
        <f t="shared" si="902"/>
        <v>#REF!</v>
      </c>
      <c r="R543" s="257" t="e">
        <f t="shared" si="902"/>
        <v>#REF!</v>
      </c>
      <c r="S543" s="257" t="e">
        <f t="shared" si="902"/>
        <v>#REF!</v>
      </c>
      <c r="T543" s="257" t="e">
        <f t="shared" si="902"/>
        <v>#REF!</v>
      </c>
      <c r="U543" s="257" t="e">
        <f t="shared" si="902"/>
        <v>#REF!</v>
      </c>
      <c r="V543" s="257" t="e">
        <f t="shared" si="902"/>
        <v>#REF!</v>
      </c>
      <c r="W543" s="257" t="e">
        <f t="shared" si="902"/>
        <v>#REF!</v>
      </c>
      <c r="X543" s="257" t="e">
        <f t="shared" si="902"/>
        <v>#REF!</v>
      </c>
      <c r="Y543" s="257" t="e">
        <f t="shared" si="902"/>
        <v>#REF!</v>
      </c>
      <c r="Z543" s="257" t="e">
        <f t="shared" si="902"/>
        <v>#REF!</v>
      </c>
    </row>
    <row r="544" spans="1:26" ht="19.5" hidden="1" customHeight="1" x14ac:dyDescent="0.2">
      <c r="A544" s="259" t="s">
        <v>93</v>
      </c>
      <c r="B544" s="271">
        <v>801</v>
      </c>
      <c r="C544" s="271" t="s">
        <v>312</v>
      </c>
      <c r="D544" s="252" t="s">
        <v>196</v>
      </c>
      <c r="E544" s="252" t="s">
        <v>442</v>
      </c>
      <c r="F544" s="252" t="s">
        <v>94</v>
      </c>
      <c r="G544" s="257"/>
      <c r="H544" s="257"/>
      <c r="I544" s="257">
        <v>-31.5</v>
      </c>
      <c r="J544" s="257" t="e">
        <f>#REF!+I544</f>
        <v>#REF!</v>
      </c>
      <c r="K544" s="257">
        <v>-31.5</v>
      </c>
      <c r="L544" s="257" t="e">
        <f>#REF!+J544</f>
        <v>#REF!</v>
      </c>
      <c r="M544" s="257" t="e">
        <f>#REF!+K544</f>
        <v>#REF!</v>
      </c>
      <c r="N544" s="257" t="e">
        <f>#REF!+L544</f>
        <v>#REF!</v>
      </c>
      <c r="O544" s="257" t="e">
        <f>#REF!+M544</f>
        <v>#REF!</v>
      </c>
      <c r="P544" s="257" t="e">
        <f>#REF!+N544</f>
        <v>#REF!</v>
      </c>
      <c r="Q544" s="257" t="e">
        <f>#REF!+O544</f>
        <v>#REF!</v>
      </c>
      <c r="R544" s="257" t="e">
        <f>#REF!+P544</f>
        <v>#REF!</v>
      </c>
      <c r="S544" s="257" t="e">
        <f>#REF!+Q544</f>
        <v>#REF!</v>
      </c>
      <c r="T544" s="257" t="e">
        <f>#REF!+R544</f>
        <v>#REF!</v>
      </c>
      <c r="U544" s="257" t="e">
        <f>#REF!+S544</f>
        <v>#REF!</v>
      </c>
      <c r="V544" s="257" t="e">
        <f>#REF!+T544</f>
        <v>#REF!</v>
      </c>
      <c r="W544" s="257" t="e">
        <f>#REF!+U544</f>
        <v>#REF!</v>
      </c>
      <c r="X544" s="257" t="e">
        <f>#REF!+V544</f>
        <v>#REF!</v>
      </c>
      <c r="Y544" s="257" t="e">
        <f>#REF!+W544</f>
        <v>#REF!</v>
      </c>
      <c r="Z544" s="257" t="e">
        <f>#REF!+X544</f>
        <v>#REF!</v>
      </c>
    </row>
    <row r="545" spans="1:26" ht="12.75" hidden="1" customHeight="1" x14ac:dyDescent="0.2">
      <c r="A545" s="259" t="s">
        <v>97</v>
      </c>
      <c r="B545" s="271">
        <v>801</v>
      </c>
      <c r="C545" s="271" t="s">
        <v>312</v>
      </c>
      <c r="D545" s="252" t="s">
        <v>198</v>
      </c>
      <c r="E545" s="252" t="s">
        <v>363</v>
      </c>
      <c r="F545" s="252" t="s">
        <v>98</v>
      </c>
      <c r="G545" s="257"/>
      <c r="H545" s="257"/>
      <c r="I545" s="257"/>
      <c r="J545" s="257" t="e">
        <f>#REF!+I545</f>
        <v>#REF!</v>
      </c>
      <c r="K545" s="257"/>
      <c r="L545" s="257" t="e">
        <f t="shared" ref="L545:R548" si="903">F545+J545</f>
        <v>#REF!</v>
      </c>
      <c r="M545" s="257">
        <f t="shared" si="903"/>
        <v>0</v>
      </c>
      <c r="N545" s="257" t="e">
        <f t="shared" si="903"/>
        <v>#REF!</v>
      </c>
      <c r="O545" s="257">
        <f t="shared" si="903"/>
        <v>0</v>
      </c>
      <c r="P545" s="257" t="e">
        <f t="shared" si="903"/>
        <v>#REF!</v>
      </c>
      <c r="Q545" s="257">
        <f t="shared" si="903"/>
        <v>0</v>
      </c>
      <c r="R545" s="257" t="e">
        <f t="shared" si="903"/>
        <v>#REF!</v>
      </c>
      <c r="S545" s="257">
        <f t="shared" ref="S545:S548" si="904">M545+Q545</f>
        <v>0</v>
      </c>
      <c r="T545" s="257" t="e">
        <f t="shared" ref="T545:T548" si="905">N545+R545</f>
        <v>#REF!</v>
      </c>
      <c r="U545" s="257">
        <f t="shared" ref="U545:U548" si="906">O545+S545</f>
        <v>0</v>
      </c>
      <c r="V545" s="257" t="e">
        <f t="shared" ref="V545:V548" si="907">P545+T545</f>
        <v>#REF!</v>
      </c>
      <c r="W545" s="257">
        <f t="shared" ref="W545:W548" si="908">Q545+U545</f>
        <v>0</v>
      </c>
      <c r="X545" s="257" t="e">
        <f t="shared" ref="X545:X548" si="909">R545+V545</f>
        <v>#REF!</v>
      </c>
      <c r="Y545" s="257">
        <f t="shared" ref="Y545:Y548" si="910">S545+W545</f>
        <v>0</v>
      </c>
      <c r="Z545" s="257" t="e">
        <f t="shared" ref="Z545:Z548" si="911">T545+X545</f>
        <v>#REF!</v>
      </c>
    </row>
    <row r="546" spans="1:26" ht="12.75" hidden="1" customHeight="1" x14ac:dyDescent="0.2">
      <c r="A546" s="259" t="s">
        <v>121</v>
      </c>
      <c r="B546" s="271">
        <v>801</v>
      </c>
      <c r="C546" s="271" t="s">
        <v>312</v>
      </c>
      <c r="D546" s="252" t="s">
        <v>198</v>
      </c>
      <c r="E546" s="252" t="s">
        <v>363</v>
      </c>
      <c r="F546" s="252" t="s">
        <v>94</v>
      </c>
      <c r="G546" s="257"/>
      <c r="H546" s="257"/>
      <c r="I546" s="257"/>
      <c r="J546" s="257" t="e">
        <f>#REF!+I546</f>
        <v>#REF!</v>
      </c>
      <c r="K546" s="257"/>
      <c r="L546" s="257" t="e">
        <f t="shared" si="903"/>
        <v>#REF!</v>
      </c>
      <c r="M546" s="257">
        <f t="shared" si="903"/>
        <v>0</v>
      </c>
      <c r="N546" s="257" t="e">
        <f t="shared" si="903"/>
        <v>#REF!</v>
      </c>
      <c r="O546" s="257">
        <f t="shared" si="903"/>
        <v>0</v>
      </c>
      <c r="P546" s="257" t="e">
        <f t="shared" si="903"/>
        <v>#REF!</v>
      </c>
      <c r="Q546" s="257">
        <f t="shared" si="903"/>
        <v>0</v>
      </c>
      <c r="R546" s="257" t="e">
        <f t="shared" si="903"/>
        <v>#REF!</v>
      </c>
      <c r="S546" s="257">
        <f t="shared" si="904"/>
        <v>0</v>
      </c>
      <c r="T546" s="257" t="e">
        <f t="shared" si="905"/>
        <v>#REF!</v>
      </c>
      <c r="U546" s="257">
        <f t="shared" si="906"/>
        <v>0</v>
      </c>
      <c r="V546" s="257" t="e">
        <f t="shared" si="907"/>
        <v>#REF!</v>
      </c>
      <c r="W546" s="257">
        <f t="shared" si="908"/>
        <v>0</v>
      </c>
      <c r="X546" s="257" t="e">
        <f t="shared" si="909"/>
        <v>#REF!</v>
      </c>
      <c r="Y546" s="257">
        <f t="shared" si="910"/>
        <v>0</v>
      </c>
      <c r="Z546" s="257" t="e">
        <f t="shared" si="911"/>
        <v>#REF!</v>
      </c>
    </row>
    <row r="547" spans="1:26" ht="12.75" hidden="1" customHeight="1" x14ac:dyDescent="0.2">
      <c r="A547" s="259" t="s">
        <v>63</v>
      </c>
      <c r="B547" s="271">
        <v>801</v>
      </c>
      <c r="C547" s="271" t="s">
        <v>312</v>
      </c>
      <c r="D547" s="252" t="s">
        <v>198</v>
      </c>
      <c r="E547" s="252" t="s">
        <v>363</v>
      </c>
      <c r="F547" s="252" t="s">
        <v>64</v>
      </c>
      <c r="G547" s="257"/>
      <c r="H547" s="257"/>
      <c r="I547" s="257"/>
      <c r="J547" s="257" t="e">
        <f>#REF!+I547</f>
        <v>#REF!</v>
      </c>
      <c r="K547" s="257"/>
      <c r="L547" s="257" t="e">
        <f t="shared" si="903"/>
        <v>#REF!</v>
      </c>
      <c r="M547" s="257">
        <f t="shared" si="903"/>
        <v>0</v>
      </c>
      <c r="N547" s="257" t="e">
        <f t="shared" si="903"/>
        <v>#REF!</v>
      </c>
      <c r="O547" s="257">
        <f t="shared" si="903"/>
        <v>0</v>
      </c>
      <c r="P547" s="257" t="e">
        <f t="shared" si="903"/>
        <v>#REF!</v>
      </c>
      <c r="Q547" s="257">
        <f t="shared" si="903"/>
        <v>0</v>
      </c>
      <c r="R547" s="257" t="e">
        <f t="shared" si="903"/>
        <v>#REF!</v>
      </c>
      <c r="S547" s="257">
        <f t="shared" si="904"/>
        <v>0</v>
      </c>
      <c r="T547" s="257" t="e">
        <f t="shared" si="905"/>
        <v>#REF!</v>
      </c>
      <c r="U547" s="257">
        <f t="shared" si="906"/>
        <v>0</v>
      </c>
      <c r="V547" s="257" t="e">
        <f t="shared" si="907"/>
        <v>#REF!</v>
      </c>
      <c r="W547" s="257">
        <f t="shared" si="908"/>
        <v>0</v>
      </c>
      <c r="X547" s="257" t="e">
        <f t="shared" si="909"/>
        <v>#REF!</v>
      </c>
      <c r="Y547" s="257">
        <f t="shared" si="910"/>
        <v>0</v>
      </c>
      <c r="Z547" s="257" t="e">
        <f t="shared" si="911"/>
        <v>#REF!</v>
      </c>
    </row>
    <row r="548" spans="1:26" ht="12.75" hidden="1" customHeight="1" x14ac:dyDescent="0.2">
      <c r="A548" s="259" t="s">
        <v>302</v>
      </c>
      <c r="B548" s="271">
        <v>801</v>
      </c>
      <c r="C548" s="271" t="s">
        <v>312</v>
      </c>
      <c r="D548" s="252" t="s">
        <v>198</v>
      </c>
      <c r="E548" s="252" t="s">
        <v>316</v>
      </c>
      <c r="F548" s="252" t="s">
        <v>303</v>
      </c>
      <c r="G548" s="257"/>
      <c r="H548" s="257"/>
      <c r="I548" s="257"/>
      <c r="J548" s="257" t="e">
        <f>#REF!+I548</f>
        <v>#REF!</v>
      </c>
      <c r="K548" s="257"/>
      <c r="L548" s="257" t="e">
        <f t="shared" si="903"/>
        <v>#REF!</v>
      </c>
      <c r="M548" s="257">
        <f t="shared" si="903"/>
        <v>0</v>
      </c>
      <c r="N548" s="257" t="e">
        <f t="shared" si="903"/>
        <v>#REF!</v>
      </c>
      <c r="O548" s="257">
        <f t="shared" si="903"/>
        <v>0</v>
      </c>
      <c r="P548" s="257" t="e">
        <f t="shared" si="903"/>
        <v>#REF!</v>
      </c>
      <c r="Q548" s="257">
        <f t="shared" si="903"/>
        <v>0</v>
      </c>
      <c r="R548" s="257" t="e">
        <f t="shared" si="903"/>
        <v>#REF!</v>
      </c>
      <c r="S548" s="257">
        <f t="shared" si="904"/>
        <v>0</v>
      </c>
      <c r="T548" s="257" t="e">
        <f t="shared" si="905"/>
        <v>#REF!</v>
      </c>
      <c r="U548" s="257">
        <f t="shared" si="906"/>
        <v>0</v>
      </c>
      <c r="V548" s="257" t="e">
        <f t="shared" si="907"/>
        <v>#REF!</v>
      </c>
      <c r="W548" s="257">
        <f t="shared" si="908"/>
        <v>0</v>
      </c>
      <c r="X548" s="257" t="e">
        <f t="shared" si="909"/>
        <v>#REF!</v>
      </c>
      <c r="Y548" s="257">
        <f t="shared" si="910"/>
        <v>0</v>
      </c>
      <c r="Z548" s="257" t="e">
        <f t="shared" si="911"/>
        <v>#REF!</v>
      </c>
    </row>
    <row r="549" spans="1:26" s="431" customFormat="1" ht="54.75" hidden="1" customHeight="1" x14ac:dyDescent="0.2">
      <c r="A549" s="369" t="s">
        <v>379</v>
      </c>
      <c r="B549" s="252">
        <v>801</v>
      </c>
      <c r="C549" s="252" t="s">
        <v>190</v>
      </c>
      <c r="D549" s="252" t="s">
        <v>196</v>
      </c>
      <c r="E549" s="252" t="s">
        <v>380</v>
      </c>
      <c r="F549" s="252"/>
      <c r="G549" s="257"/>
      <c r="H549" s="257"/>
      <c r="I549" s="257">
        <f>I550</f>
        <v>-1331</v>
      </c>
      <c r="J549" s="257" t="e">
        <f>J550</f>
        <v>#REF!</v>
      </c>
      <c r="K549" s="257">
        <f>K550</f>
        <v>-1331</v>
      </c>
      <c r="L549" s="257" t="e">
        <f>L550</f>
        <v>#REF!</v>
      </c>
      <c r="M549" s="257" t="e">
        <f>M550</f>
        <v>#REF!</v>
      </c>
      <c r="N549" s="257" t="e">
        <f t="shared" ref="N549:Z549" si="912">N550</f>
        <v>#REF!</v>
      </c>
      <c r="O549" s="257" t="e">
        <f t="shared" si="912"/>
        <v>#REF!</v>
      </c>
      <c r="P549" s="257" t="e">
        <f t="shared" si="912"/>
        <v>#REF!</v>
      </c>
      <c r="Q549" s="257" t="e">
        <f t="shared" si="912"/>
        <v>#REF!</v>
      </c>
      <c r="R549" s="257" t="e">
        <f t="shared" si="912"/>
        <v>#REF!</v>
      </c>
      <c r="S549" s="257" t="e">
        <f t="shared" si="912"/>
        <v>#REF!</v>
      </c>
      <c r="T549" s="257" t="e">
        <f t="shared" si="912"/>
        <v>#REF!</v>
      </c>
      <c r="U549" s="257" t="e">
        <f t="shared" si="912"/>
        <v>#REF!</v>
      </c>
      <c r="V549" s="257" t="e">
        <f t="shared" si="912"/>
        <v>#REF!</v>
      </c>
      <c r="W549" s="257" t="e">
        <f t="shared" si="912"/>
        <v>#REF!</v>
      </c>
      <c r="X549" s="257" t="e">
        <f t="shared" si="912"/>
        <v>#REF!</v>
      </c>
      <c r="Y549" s="257" t="e">
        <f t="shared" si="912"/>
        <v>#REF!</v>
      </c>
      <c r="Z549" s="257" t="e">
        <f t="shared" si="912"/>
        <v>#REF!</v>
      </c>
    </row>
    <row r="550" spans="1:26" s="431" customFormat="1" ht="57.75" hidden="1" customHeight="1" x14ac:dyDescent="0.2">
      <c r="A550" s="367" t="s">
        <v>381</v>
      </c>
      <c r="B550" s="252" t="s">
        <v>146</v>
      </c>
      <c r="C550" s="252" t="s">
        <v>190</v>
      </c>
      <c r="D550" s="252" t="s">
        <v>196</v>
      </c>
      <c r="E550" s="252" t="s">
        <v>735</v>
      </c>
      <c r="F550" s="252"/>
      <c r="G550" s="257"/>
      <c r="H550" s="257"/>
      <c r="I550" s="257">
        <f>I551+I552+I553</f>
        <v>-1331</v>
      </c>
      <c r="J550" s="257" t="e">
        <f>J551+J552+J553</f>
        <v>#REF!</v>
      </c>
      <c r="K550" s="257">
        <f>K551+K552+K553</f>
        <v>-1331</v>
      </c>
      <c r="L550" s="257" t="e">
        <f>L551+L552+L553</f>
        <v>#REF!</v>
      </c>
      <c r="M550" s="257" t="e">
        <f>M551+M552+M553</f>
        <v>#REF!</v>
      </c>
      <c r="N550" s="257" t="e">
        <f t="shared" ref="N550:R550" si="913">N551+N552+N553</f>
        <v>#REF!</v>
      </c>
      <c r="O550" s="257" t="e">
        <f t="shared" si="913"/>
        <v>#REF!</v>
      </c>
      <c r="P550" s="257" t="e">
        <f t="shared" si="913"/>
        <v>#REF!</v>
      </c>
      <c r="Q550" s="257" t="e">
        <f t="shared" si="913"/>
        <v>#REF!</v>
      </c>
      <c r="R550" s="257" t="e">
        <f t="shared" si="913"/>
        <v>#REF!</v>
      </c>
      <c r="S550" s="257" t="e">
        <f t="shared" ref="S550:T550" si="914">S551+S552+S553</f>
        <v>#REF!</v>
      </c>
      <c r="T550" s="257" t="e">
        <f t="shared" si="914"/>
        <v>#REF!</v>
      </c>
      <c r="U550" s="257" t="e">
        <f t="shared" ref="U550:V550" si="915">U551+U552+U553</f>
        <v>#REF!</v>
      </c>
      <c r="V550" s="257" t="e">
        <f t="shared" si="915"/>
        <v>#REF!</v>
      </c>
      <c r="W550" s="257" t="e">
        <f t="shared" ref="W550:X550" si="916">W551+W552+W553</f>
        <v>#REF!</v>
      </c>
      <c r="X550" s="257" t="e">
        <f t="shared" si="916"/>
        <v>#REF!</v>
      </c>
      <c r="Y550" s="257" t="e">
        <f t="shared" ref="Y550:Z550" si="917">Y551+Y552+Y553</f>
        <v>#REF!</v>
      </c>
      <c r="Z550" s="257" t="e">
        <f t="shared" si="917"/>
        <v>#REF!</v>
      </c>
    </row>
    <row r="551" spans="1:26" s="431" customFormat="1" ht="12.75" hidden="1" customHeight="1" x14ac:dyDescent="0.2">
      <c r="A551" s="259" t="s">
        <v>95</v>
      </c>
      <c r="B551" s="252" t="s">
        <v>146</v>
      </c>
      <c r="C551" s="252" t="s">
        <v>190</v>
      </c>
      <c r="D551" s="252" t="s">
        <v>196</v>
      </c>
      <c r="E551" s="252" t="s">
        <v>735</v>
      </c>
      <c r="F551" s="252" t="s">
        <v>96</v>
      </c>
      <c r="G551" s="257"/>
      <c r="H551" s="257"/>
      <c r="I551" s="257">
        <v>-1269.5</v>
      </c>
      <c r="J551" s="257" t="e">
        <f>#REF!+I551</f>
        <v>#REF!</v>
      </c>
      <c r="K551" s="257">
        <v>-1269.5</v>
      </c>
      <c r="L551" s="257" t="e">
        <f>#REF!+J551</f>
        <v>#REF!</v>
      </c>
      <c r="M551" s="257" t="e">
        <f>#REF!+K551</f>
        <v>#REF!</v>
      </c>
      <c r="N551" s="257" t="e">
        <f>#REF!+L551</f>
        <v>#REF!</v>
      </c>
      <c r="O551" s="257" t="e">
        <f>#REF!+M551</f>
        <v>#REF!</v>
      </c>
      <c r="P551" s="257" t="e">
        <f>#REF!+N551</f>
        <v>#REF!</v>
      </c>
      <c r="Q551" s="257" t="e">
        <f>#REF!+O551</f>
        <v>#REF!</v>
      </c>
      <c r="R551" s="257" t="e">
        <f>#REF!+P551</f>
        <v>#REF!</v>
      </c>
      <c r="S551" s="257" t="e">
        <f>#REF!+Q551</f>
        <v>#REF!</v>
      </c>
      <c r="T551" s="257" t="e">
        <f>#REF!+R551</f>
        <v>#REF!</v>
      </c>
      <c r="U551" s="257" t="e">
        <f>#REF!+S551</f>
        <v>#REF!</v>
      </c>
      <c r="V551" s="257" t="e">
        <f>#REF!+T551</f>
        <v>#REF!</v>
      </c>
      <c r="W551" s="257" t="e">
        <f>#REF!+U551</f>
        <v>#REF!</v>
      </c>
      <c r="X551" s="257" t="e">
        <f>#REF!+V551</f>
        <v>#REF!</v>
      </c>
      <c r="Y551" s="257" t="e">
        <f>#REF!+W551</f>
        <v>#REF!</v>
      </c>
      <c r="Z551" s="257" t="e">
        <f>#REF!+X551</f>
        <v>#REF!</v>
      </c>
    </row>
    <row r="552" spans="1:26" s="431" customFormat="1" ht="12.75" hidden="1" customHeight="1" x14ac:dyDescent="0.2">
      <c r="A552" s="259" t="s">
        <v>97</v>
      </c>
      <c r="B552" s="252" t="s">
        <v>146</v>
      </c>
      <c r="C552" s="252" t="s">
        <v>190</v>
      </c>
      <c r="D552" s="252" t="s">
        <v>196</v>
      </c>
      <c r="E552" s="252" t="s">
        <v>735</v>
      </c>
      <c r="F552" s="252" t="s">
        <v>98</v>
      </c>
      <c r="G552" s="257"/>
      <c r="H552" s="257"/>
      <c r="I552" s="257">
        <v>0</v>
      </c>
      <c r="J552" s="257" t="e">
        <f>#REF!+I552</f>
        <v>#REF!</v>
      </c>
      <c r="K552" s="257">
        <v>0</v>
      </c>
      <c r="L552" s="257" t="e">
        <f>#REF!+J552</f>
        <v>#REF!</v>
      </c>
      <c r="M552" s="257" t="e">
        <f>#REF!+K552</f>
        <v>#REF!</v>
      </c>
      <c r="N552" s="257" t="e">
        <f>#REF!+L552</f>
        <v>#REF!</v>
      </c>
      <c r="O552" s="257" t="e">
        <f>#REF!+M552</f>
        <v>#REF!</v>
      </c>
      <c r="P552" s="257" t="e">
        <f>#REF!+N552</f>
        <v>#REF!</v>
      </c>
      <c r="Q552" s="257" t="e">
        <f>#REF!+O552</f>
        <v>#REF!</v>
      </c>
      <c r="R552" s="257" t="e">
        <f>#REF!+P552</f>
        <v>#REF!</v>
      </c>
      <c r="S552" s="257" t="e">
        <f>#REF!+Q552</f>
        <v>#REF!</v>
      </c>
      <c r="T552" s="257" t="e">
        <f>#REF!+R552</f>
        <v>#REF!</v>
      </c>
      <c r="U552" s="257" t="e">
        <f>#REF!+S552</f>
        <v>#REF!</v>
      </c>
      <c r="V552" s="257" t="e">
        <f>#REF!+T552</f>
        <v>#REF!</v>
      </c>
      <c r="W552" s="257" t="e">
        <f>#REF!+U552</f>
        <v>#REF!</v>
      </c>
      <c r="X552" s="257" t="e">
        <f>#REF!+V552</f>
        <v>#REF!</v>
      </c>
      <c r="Y552" s="257" t="e">
        <f>#REF!+W552</f>
        <v>#REF!</v>
      </c>
      <c r="Z552" s="257" t="e">
        <f>#REF!+X552</f>
        <v>#REF!</v>
      </c>
    </row>
    <row r="553" spans="1:26" s="431" customFormat="1" ht="18.75" hidden="1" customHeight="1" x14ac:dyDescent="0.2">
      <c r="A553" s="259" t="s">
        <v>93</v>
      </c>
      <c r="B553" s="252" t="s">
        <v>146</v>
      </c>
      <c r="C553" s="252" t="s">
        <v>190</v>
      </c>
      <c r="D553" s="252" t="s">
        <v>196</v>
      </c>
      <c r="E553" s="252" t="s">
        <v>735</v>
      </c>
      <c r="F553" s="252" t="s">
        <v>94</v>
      </c>
      <c r="G553" s="257"/>
      <c r="H553" s="257"/>
      <c r="I553" s="257">
        <v>-61.5</v>
      </c>
      <c r="J553" s="257" t="e">
        <f>#REF!+I553</f>
        <v>#REF!</v>
      </c>
      <c r="K553" s="257">
        <v>-61.5</v>
      </c>
      <c r="L553" s="257" t="e">
        <f>#REF!+J553</f>
        <v>#REF!</v>
      </c>
      <c r="M553" s="257" t="e">
        <f>#REF!+K553</f>
        <v>#REF!</v>
      </c>
      <c r="N553" s="257" t="e">
        <f>#REF!+L553</f>
        <v>#REF!</v>
      </c>
      <c r="O553" s="257" t="e">
        <f>#REF!+M553</f>
        <v>#REF!</v>
      </c>
      <c r="P553" s="257" t="e">
        <f>#REF!+N553</f>
        <v>#REF!</v>
      </c>
      <c r="Q553" s="257" t="e">
        <f>#REF!+O553</f>
        <v>#REF!</v>
      </c>
      <c r="R553" s="257" t="e">
        <f>#REF!+P553</f>
        <v>#REF!</v>
      </c>
      <c r="S553" s="257" t="e">
        <f>#REF!+Q553</f>
        <v>#REF!</v>
      </c>
      <c r="T553" s="257" t="e">
        <f>#REF!+R553</f>
        <v>#REF!</v>
      </c>
      <c r="U553" s="257" t="e">
        <f>#REF!+S553</f>
        <v>#REF!</v>
      </c>
      <c r="V553" s="257" t="e">
        <f>#REF!+T553</f>
        <v>#REF!</v>
      </c>
      <c r="W553" s="257" t="e">
        <f>#REF!+U553</f>
        <v>#REF!</v>
      </c>
      <c r="X553" s="257" t="e">
        <f>#REF!+V553</f>
        <v>#REF!</v>
      </c>
      <c r="Y553" s="257" t="e">
        <f>#REF!+W553</f>
        <v>#REF!</v>
      </c>
      <c r="Z553" s="257" t="e">
        <f>#REF!+X553</f>
        <v>#REF!</v>
      </c>
    </row>
    <row r="554" spans="1:26" s="431" customFormat="1" ht="95.25" hidden="1" customHeight="1" x14ac:dyDescent="0.2">
      <c r="A554" s="367" t="s">
        <v>478</v>
      </c>
      <c r="B554" s="252" t="s">
        <v>146</v>
      </c>
      <c r="C554" s="252" t="s">
        <v>190</v>
      </c>
      <c r="D554" s="252" t="s">
        <v>196</v>
      </c>
      <c r="E554" s="252" t="s">
        <v>479</v>
      </c>
      <c r="F554" s="252"/>
      <c r="G554" s="257"/>
      <c r="H554" s="257"/>
      <c r="I554" s="257">
        <f>I555+I556+I557</f>
        <v>0</v>
      </c>
      <c r="J554" s="257">
        <f>J555+J556+J557</f>
        <v>0</v>
      </c>
      <c r="K554" s="257">
        <f>K555+K556+K557</f>
        <v>0</v>
      </c>
      <c r="L554" s="257">
        <f>L555+L556+L557</f>
        <v>0</v>
      </c>
      <c r="M554" s="257">
        <f>M555+M556+M557</f>
        <v>0</v>
      </c>
      <c r="N554" s="257">
        <f t="shared" ref="N554:R554" si="918">N555+N556+N557</f>
        <v>0</v>
      </c>
      <c r="O554" s="257">
        <f t="shared" si="918"/>
        <v>0</v>
      </c>
      <c r="P554" s="257">
        <f t="shared" si="918"/>
        <v>0</v>
      </c>
      <c r="Q554" s="257">
        <f t="shared" si="918"/>
        <v>0</v>
      </c>
      <c r="R554" s="257">
        <f t="shared" si="918"/>
        <v>0</v>
      </c>
      <c r="S554" s="257">
        <f t="shared" ref="S554:T554" si="919">S555+S556+S557</f>
        <v>0</v>
      </c>
      <c r="T554" s="257">
        <f t="shared" si="919"/>
        <v>0</v>
      </c>
      <c r="U554" s="257">
        <f t="shared" ref="U554:V554" si="920">U555+U556+U557</f>
        <v>0</v>
      </c>
      <c r="V554" s="257">
        <f t="shared" si="920"/>
        <v>0</v>
      </c>
      <c r="W554" s="257">
        <f t="shared" ref="W554:X554" si="921">W555+W556+W557</f>
        <v>0</v>
      </c>
      <c r="X554" s="257">
        <f t="shared" si="921"/>
        <v>0</v>
      </c>
      <c r="Y554" s="257">
        <f t="shared" ref="Y554:Z554" si="922">Y555+Y556+Y557</f>
        <v>0</v>
      </c>
      <c r="Z554" s="257">
        <f t="shared" si="922"/>
        <v>0</v>
      </c>
    </row>
    <row r="555" spans="1:26" s="431" customFormat="1" ht="21" hidden="1" customHeight="1" x14ac:dyDescent="0.2">
      <c r="A555" s="259" t="s">
        <v>95</v>
      </c>
      <c r="B555" s="252" t="s">
        <v>146</v>
      </c>
      <c r="C555" s="252" t="s">
        <v>190</v>
      </c>
      <c r="D555" s="252" t="s">
        <v>196</v>
      </c>
      <c r="E555" s="252" t="s">
        <v>479</v>
      </c>
      <c r="F555" s="252" t="s">
        <v>96</v>
      </c>
      <c r="G555" s="257"/>
      <c r="H555" s="257"/>
      <c r="I555" s="257">
        <v>0</v>
      </c>
      <c r="J555" s="257">
        <f>G555+I555</f>
        <v>0</v>
      </c>
      <c r="K555" s="257">
        <v>0</v>
      </c>
      <c r="L555" s="257">
        <f t="shared" ref="L555:R557" si="923">H555+J555</f>
        <v>0</v>
      </c>
      <c r="M555" s="257">
        <f t="shared" si="923"/>
        <v>0</v>
      </c>
      <c r="N555" s="257">
        <f t="shared" si="923"/>
        <v>0</v>
      </c>
      <c r="O555" s="257">
        <f t="shared" si="923"/>
        <v>0</v>
      </c>
      <c r="P555" s="257">
        <f t="shared" si="923"/>
        <v>0</v>
      </c>
      <c r="Q555" s="257">
        <f t="shared" si="923"/>
        <v>0</v>
      </c>
      <c r="R555" s="257">
        <f t="shared" si="923"/>
        <v>0</v>
      </c>
      <c r="S555" s="257">
        <f t="shared" ref="S555:S557" si="924">O555+Q555</f>
        <v>0</v>
      </c>
      <c r="T555" s="257">
        <f t="shared" ref="T555:T557" si="925">P555+R555</f>
        <v>0</v>
      </c>
      <c r="U555" s="257">
        <f t="shared" ref="U555:U557" si="926">Q555+S555</f>
        <v>0</v>
      </c>
      <c r="V555" s="257">
        <f t="shared" ref="V555:V557" si="927">R555+T555</f>
        <v>0</v>
      </c>
      <c r="W555" s="257">
        <f t="shared" ref="W555:W557" si="928">S555+U555</f>
        <v>0</v>
      </c>
      <c r="X555" s="257">
        <f t="shared" ref="X555:X557" si="929">T555+V555</f>
        <v>0</v>
      </c>
      <c r="Y555" s="257">
        <f t="shared" ref="Y555:Y557" si="930">U555+W555</f>
        <v>0</v>
      </c>
      <c r="Z555" s="257">
        <f t="shared" ref="Z555:Z557" si="931">V555+X555</f>
        <v>0</v>
      </c>
    </row>
    <row r="556" spans="1:26" s="431" customFormat="1" ht="24.75" hidden="1" customHeight="1" x14ac:dyDescent="0.2">
      <c r="A556" s="259" t="s">
        <v>97</v>
      </c>
      <c r="B556" s="252" t="s">
        <v>146</v>
      </c>
      <c r="C556" s="252" t="s">
        <v>190</v>
      </c>
      <c r="D556" s="252" t="s">
        <v>196</v>
      </c>
      <c r="E556" s="252" t="s">
        <v>479</v>
      </c>
      <c r="F556" s="252" t="s">
        <v>98</v>
      </c>
      <c r="G556" s="257"/>
      <c r="H556" s="257"/>
      <c r="I556" s="257">
        <v>0</v>
      </c>
      <c r="J556" s="257">
        <f>G556+I556</f>
        <v>0</v>
      </c>
      <c r="K556" s="257">
        <v>0</v>
      </c>
      <c r="L556" s="257">
        <f t="shared" si="923"/>
        <v>0</v>
      </c>
      <c r="M556" s="257">
        <f t="shared" si="923"/>
        <v>0</v>
      </c>
      <c r="N556" s="257">
        <f t="shared" si="923"/>
        <v>0</v>
      </c>
      <c r="O556" s="257">
        <f t="shared" si="923"/>
        <v>0</v>
      </c>
      <c r="P556" s="257">
        <f t="shared" si="923"/>
        <v>0</v>
      </c>
      <c r="Q556" s="257">
        <f t="shared" si="923"/>
        <v>0</v>
      </c>
      <c r="R556" s="257">
        <f t="shared" si="923"/>
        <v>0</v>
      </c>
      <c r="S556" s="257">
        <f t="shared" si="924"/>
        <v>0</v>
      </c>
      <c r="T556" s="257">
        <f t="shared" si="925"/>
        <v>0</v>
      </c>
      <c r="U556" s="257">
        <f t="shared" si="926"/>
        <v>0</v>
      </c>
      <c r="V556" s="257">
        <f t="shared" si="927"/>
        <v>0</v>
      </c>
      <c r="W556" s="257">
        <f t="shared" si="928"/>
        <v>0</v>
      </c>
      <c r="X556" s="257">
        <f t="shared" si="929"/>
        <v>0</v>
      </c>
      <c r="Y556" s="257">
        <f t="shared" si="930"/>
        <v>0</v>
      </c>
      <c r="Z556" s="257">
        <f t="shared" si="931"/>
        <v>0</v>
      </c>
    </row>
    <row r="557" spans="1:26" s="431" customFormat="1" ht="28.5" hidden="1" customHeight="1" x14ac:dyDescent="0.2">
      <c r="A557" s="259" t="s">
        <v>93</v>
      </c>
      <c r="B557" s="252" t="s">
        <v>146</v>
      </c>
      <c r="C557" s="252" t="s">
        <v>190</v>
      </c>
      <c r="D557" s="252" t="s">
        <v>196</v>
      </c>
      <c r="E557" s="252" t="s">
        <v>479</v>
      </c>
      <c r="F557" s="252" t="s">
        <v>94</v>
      </c>
      <c r="G557" s="257"/>
      <c r="H557" s="257"/>
      <c r="I557" s="257">
        <v>0</v>
      </c>
      <c r="J557" s="257">
        <f>G557+I557</f>
        <v>0</v>
      </c>
      <c r="K557" s="257">
        <v>0</v>
      </c>
      <c r="L557" s="257">
        <f t="shared" si="923"/>
        <v>0</v>
      </c>
      <c r="M557" s="257">
        <f t="shared" si="923"/>
        <v>0</v>
      </c>
      <c r="N557" s="257">
        <f t="shared" si="923"/>
        <v>0</v>
      </c>
      <c r="O557" s="257">
        <f t="shared" si="923"/>
        <v>0</v>
      </c>
      <c r="P557" s="257">
        <f t="shared" si="923"/>
        <v>0</v>
      </c>
      <c r="Q557" s="257">
        <f t="shared" si="923"/>
        <v>0</v>
      </c>
      <c r="R557" s="257">
        <f t="shared" si="923"/>
        <v>0</v>
      </c>
      <c r="S557" s="257">
        <f t="shared" si="924"/>
        <v>0</v>
      </c>
      <c r="T557" s="257">
        <f t="shared" si="925"/>
        <v>0</v>
      </c>
      <c r="U557" s="257">
        <f t="shared" si="926"/>
        <v>0</v>
      </c>
      <c r="V557" s="257">
        <f t="shared" si="927"/>
        <v>0</v>
      </c>
      <c r="W557" s="257">
        <f t="shared" si="928"/>
        <v>0</v>
      </c>
      <c r="X557" s="257">
        <f t="shared" si="929"/>
        <v>0</v>
      </c>
      <c r="Y557" s="257">
        <f t="shared" si="930"/>
        <v>0</v>
      </c>
      <c r="Z557" s="257">
        <f t="shared" si="931"/>
        <v>0</v>
      </c>
    </row>
    <row r="558" spans="1:26" s="431" customFormat="1" ht="14.25" hidden="1" customHeight="1" x14ac:dyDescent="0.2">
      <c r="A558" s="259" t="s">
        <v>505</v>
      </c>
      <c r="B558" s="271">
        <v>801</v>
      </c>
      <c r="C558" s="271" t="s">
        <v>312</v>
      </c>
      <c r="D558" s="252" t="s">
        <v>196</v>
      </c>
      <c r="E558" s="251" t="s">
        <v>507</v>
      </c>
      <c r="F558" s="271"/>
      <c r="G558" s="257"/>
      <c r="H558" s="257"/>
      <c r="I558" s="257">
        <f>I559</f>
        <v>-13512.5</v>
      </c>
      <c r="J558" s="257" t="e">
        <f>J559</f>
        <v>#REF!</v>
      </c>
      <c r="K558" s="257">
        <f>K559</f>
        <v>-13512.5</v>
      </c>
      <c r="L558" s="257" t="e">
        <f>L559</f>
        <v>#REF!</v>
      </c>
      <c r="M558" s="257" t="e">
        <f>M559</f>
        <v>#REF!</v>
      </c>
      <c r="N558" s="257" t="e">
        <f t="shared" ref="N558:Z558" si="932">N559</f>
        <v>#REF!</v>
      </c>
      <c r="O558" s="257" t="e">
        <f t="shared" si="932"/>
        <v>#REF!</v>
      </c>
      <c r="P558" s="257" t="e">
        <f t="shared" si="932"/>
        <v>#REF!</v>
      </c>
      <c r="Q558" s="257" t="e">
        <f t="shared" si="932"/>
        <v>#REF!</v>
      </c>
      <c r="R558" s="257" t="e">
        <f t="shared" si="932"/>
        <v>#REF!</v>
      </c>
      <c r="S558" s="257" t="e">
        <f t="shared" si="932"/>
        <v>#REF!</v>
      </c>
      <c r="T558" s="257" t="e">
        <f t="shared" si="932"/>
        <v>#REF!</v>
      </c>
      <c r="U558" s="257" t="e">
        <f t="shared" si="932"/>
        <v>#REF!</v>
      </c>
      <c r="V558" s="257" t="e">
        <f t="shared" si="932"/>
        <v>#REF!</v>
      </c>
      <c r="W558" s="257" t="e">
        <f t="shared" si="932"/>
        <v>#REF!</v>
      </c>
      <c r="X558" s="257" t="e">
        <f t="shared" si="932"/>
        <v>#REF!</v>
      </c>
      <c r="Y558" s="257" t="e">
        <f t="shared" si="932"/>
        <v>#REF!</v>
      </c>
      <c r="Z558" s="257" t="e">
        <f t="shared" si="932"/>
        <v>#REF!</v>
      </c>
    </row>
    <row r="559" spans="1:26" s="431" customFormat="1" ht="17.25" hidden="1" customHeight="1" x14ac:dyDescent="0.2">
      <c r="A559" s="259" t="s">
        <v>506</v>
      </c>
      <c r="B559" s="271">
        <v>801</v>
      </c>
      <c r="C559" s="271" t="s">
        <v>312</v>
      </c>
      <c r="D559" s="252" t="s">
        <v>196</v>
      </c>
      <c r="E559" s="260" t="s">
        <v>467</v>
      </c>
      <c r="F559" s="252"/>
      <c r="G559" s="257"/>
      <c r="H559" s="257"/>
      <c r="I559" s="257">
        <f>I560+I561+I562+I563+I564+I565</f>
        <v>-13512.5</v>
      </c>
      <c r="J559" s="257" t="e">
        <f>J560+J561+J562+J563+J564+J565</f>
        <v>#REF!</v>
      </c>
      <c r="K559" s="257">
        <f>K560+K561+K562+K563+K564+K565</f>
        <v>-13512.5</v>
      </c>
      <c r="L559" s="257" t="e">
        <f>L560+L561+L562+L563+L564+L565</f>
        <v>#REF!</v>
      </c>
      <c r="M559" s="257" t="e">
        <f>M560+M561+M562+M563+M564+M565</f>
        <v>#REF!</v>
      </c>
      <c r="N559" s="257" t="e">
        <f t="shared" ref="N559:R559" si="933">N560+N561+N562+N563+N564+N565</f>
        <v>#REF!</v>
      </c>
      <c r="O559" s="257" t="e">
        <f t="shared" si="933"/>
        <v>#REF!</v>
      </c>
      <c r="P559" s="257" t="e">
        <f t="shared" si="933"/>
        <v>#REF!</v>
      </c>
      <c r="Q559" s="257" t="e">
        <f t="shared" si="933"/>
        <v>#REF!</v>
      </c>
      <c r="R559" s="257" t="e">
        <f t="shared" si="933"/>
        <v>#REF!</v>
      </c>
      <c r="S559" s="257" t="e">
        <f t="shared" ref="S559:T559" si="934">S560+S561+S562+S563+S564+S565</f>
        <v>#REF!</v>
      </c>
      <c r="T559" s="257" t="e">
        <f t="shared" si="934"/>
        <v>#REF!</v>
      </c>
      <c r="U559" s="257" t="e">
        <f t="shared" ref="U559:V559" si="935">U560+U561+U562+U563+U564+U565</f>
        <v>#REF!</v>
      </c>
      <c r="V559" s="257" t="e">
        <f t="shared" si="935"/>
        <v>#REF!</v>
      </c>
      <c r="W559" s="257" t="e">
        <f t="shared" ref="W559:X559" si="936">W560+W561+W562+W563+W564+W565</f>
        <v>#REF!</v>
      </c>
      <c r="X559" s="257" t="e">
        <f t="shared" si="936"/>
        <v>#REF!</v>
      </c>
      <c r="Y559" s="257" t="e">
        <f t="shared" ref="Y559:Z559" si="937">Y560+Y561+Y562+Y563+Y564+Y565</f>
        <v>#REF!</v>
      </c>
      <c r="Z559" s="257" t="e">
        <f t="shared" si="937"/>
        <v>#REF!</v>
      </c>
    </row>
    <row r="560" spans="1:26" s="431" customFormat="1" ht="15" hidden="1" customHeight="1" x14ac:dyDescent="0.2">
      <c r="A560" s="259" t="s">
        <v>95</v>
      </c>
      <c r="B560" s="271">
        <v>801</v>
      </c>
      <c r="C560" s="271" t="s">
        <v>312</v>
      </c>
      <c r="D560" s="252" t="s">
        <v>196</v>
      </c>
      <c r="E560" s="260" t="s">
        <v>467</v>
      </c>
      <c r="F560" s="252" t="s">
        <v>96</v>
      </c>
      <c r="G560" s="257"/>
      <c r="H560" s="257"/>
      <c r="I560" s="257">
        <v>-10282.5</v>
      </c>
      <c r="J560" s="257" t="e">
        <f>#REF!+I560</f>
        <v>#REF!</v>
      </c>
      <c r="K560" s="257">
        <v>-10282.5</v>
      </c>
      <c r="L560" s="257" t="e">
        <f>#REF!+J560</f>
        <v>#REF!</v>
      </c>
      <c r="M560" s="257" t="e">
        <f>#REF!+K560</f>
        <v>#REF!</v>
      </c>
      <c r="N560" s="257" t="e">
        <f>#REF!+L560</f>
        <v>#REF!</v>
      </c>
      <c r="O560" s="257" t="e">
        <f>#REF!+M560</f>
        <v>#REF!</v>
      </c>
      <c r="P560" s="257" t="e">
        <f>#REF!+N560</f>
        <v>#REF!</v>
      </c>
      <c r="Q560" s="257" t="e">
        <f>#REF!+O560</f>
        <v>#REF!</v>
      </c>
      <c r="R560" s="257" t="e">
        <f>#REF!+P560</f>
        <v>#REF!</v>
      </c>
      <c r="S560" s="257" t="e">
        <f>#REF!+Q560</f>
        <v>#REF!</v>
      </c>
      <c r="T560" s="257" t="e">
        <f>#REF!+R560</f>
        <v>#REF!</v>
      </c>
      <c r="U560" s="257" t="e">
        <f>#REF!+S560</f>
        <v>#REF!</v>
      </c>
      <c r="V560" s="257" t="e">
        <f>#REF!+T560</f>
        <v>#REF!</v>
      </c>
      <c r="W560" s="257" t="e">
        <f>#REF!+U560</f>
        <v>#REF!</v>
      </c>
      <c r="X560" s="257" t="e">
        <f>#REF!+V560</f>
        <v>#REF!</v>
      </c>
      <c r="Y560" s="257" t="e">
        <f>#REF!+W560</f>
        <v>#REF!</v>
      </c>
      <c r="Z560" s="257" t="e">
        <f>#REF!+X560</f>
        <v>#REF!</v>
      </c>
    </row>
    <row r="561" spans="1:26" s="431" customFormat="1" ht="18" hidden="1" customHeight="1" x14ac:dyDescent="0.2">
      <c r="A561" s="259" t="s">
        <v>97</v>
      </c>
      <c r="B561" s="271">
        <v>801</v>
      </c>
      <c r="C561" s="271" t="s">
        <v>312</v>
      </c>
      <c r="D561" s="252" t="s">
        <v>196</v>
      </c>
      <c r="E561" s="260" t="s">
        <v>467</v>
      </c>
      <c r="F561" s="252" t="s">
        <v>98</v>
      </c>
      <c r="G561" s="257"/>
      <c r="H561" s="257"/>
      <c r="I561" s="257">
        <v>-480</v>
      </c>
      <c r="J561" s="257" t="e">
        <f>#REF!+I561</f>
        <v>#REF!</v>
      </c>
      <c r="K561" s="257">
        <v>-480</v>
      </c>
      <c r="L561" s="257" t="e">
        <f>#REF!+J561</f>
        <v>#REF!</v>
      </c>
      <c r="M561" s="257" t="e">
        <f>#REF!+K561</f>
        <v>#REF!</v>
      </c>
      <c r="N561" s="257" t="e">
        <f>#REF!+L561</f>
        <v>#REF!</v>
      </c>
      <c r="O561" s="257" t="e">
        <f>#REF!+M561</f>
        <v>#REF!</v>
      </c>
      <c r="P561" s="257" t="e">
        <f>#REF!+N561</f>
        <v>#REF!</v>
      </c>
      <c r="Q561" s="257" t="e">
        <f>#REF!+O561</f>
        <v>#REF!</v>
      </c>
      <c r="R561" s="257" t="e">
        <f>#REF!+P561</f>
        <v>#REF!</v>
      </c>
      <c r="S561" s="257" t="e">
        <f>#REF!+Q561</f>
        <v>#REF!</v>
      </c>
      <c r="T561" s="257" t="e">
        <f>#REF!+R561</f>
        <v>#REF!</v>
      </c>
      <c r="U561" s="257" t="e">
        <f>#REF!+S561</f>
        <v>#REF!</v>
      </c>
      <c r="V561" s="257" t="e">
        <f>#REF!+T561</f>
        <v>#REF!</v>
      </c>
      <c r="W561" s="257" t="e">
        <f>#REF!+U561</f>
        <v>#REF!</v>
      </c>
      <c r="X561" s="257" t="e">
        <f>#REF!+V561</f>
        <v>#REF!</v>
      </c>
      <c r="Y561" s="257" t="e">
        <f>#REF!+W561</f>
        <v>#REF!</v>
      </c>
      <c r="Z561" s="257" t="e">
        <f>#REF!+X561</f>
        <v>#REF!</v>
      </c>
    </row>
    <row r="562" spans="1:26" s="431" customFormat="1" ht="12" hidden="1" customHeight="1" x14ac:dyDescent="0.2">
      <c r="A562" s="259" t="s">
        <v>99</v>
      </c>
      <c r="B562" s="271">
        <v>801</v>
      </c>
      <c r="C562" s="271" t="s">
        <v>312</v>
      </c>
      <c r="D562" s="252" t="s">
        <v>196</v>
      </c>
      <c r="E562" s="260" t="s">
        <v>467</v>
      </c>
      <c r="F562" s="252" t="s">
        <v>100</v>
      </c>
      <c r="G562" s="257"/>
      <c r="H562" s="257"/>
      <c r="I562" s="257">
        <v>-500</v>
      </c>
      <c r="J562" s="257" t="e">
        <f>#REF!+I562</f>
        <v>#REF!</v>
      </c>
      <c r="K562" s="257">
        <v>-500</v>
      </c>
      <c r="L562" s="257" t="e">
        <f>#REF!+J562</f>
        <v>#REF!</v>
      </c>
      <c r="M562" s="257" t="e">
        <f>#REF!+K562</f>
        <v>#REF!</v>
      </c>
      <c r="N562" s="257" t="e">
        <f>#REF!+L562</f>
        <v>#REF!</v>
      </c>
      <c r="O562" s="257" t="e">
        <f>#REF!+M562</f>
        <v>#REF!</v>
      </c>
      <c r="P562" s="257" t="e">
        <f>#REF!+N562</f>
        <v>#REF!</v>
      </c>
      <c r="Q562" s="257" t="e">
        <f>#REF!+O562</f>
        <v>#REF!</v>
      </c>
      <c r="R562" s="257" t="e">
        <f>#REF!+P562</f>
        <v>#REF!</v>
      </c>
      <c r="S562" s="257" t="e">
        <f>#REF!+Q562</f>
        <v>#REF!</v>
      </c>
      <c r="T562" s="257" t="e">
        <f>#REF!+R562</f>
        <v>#REF!</v>
      </c>
      <c r="U562" s="257" t="e">
        <f>#REF!+S562</f>
        <v>#REF!</v>
      </c>
      <c r="V562" s="257" t="e">
        <f>#REF!+T562</f>
        <v>#REF!</v>
      </c>
      <c r="W562" s="257" t="e">
        <f>#REF!+U562</f>
        <v>#REF!</v>
      </c>
      <c r="X562" s="257" t="e">
        <f>#REF!+V562</f>
        <v>#REF!</v>
      </c>
      <c r="Y562" s="257" t="e">
        <f>#REF!+W562</f>
        <v>#REF!</v>
      </c>
      <c r="Z562" s="257" t="e">
        <f>#REF!+X562</f>
        <v>#REF!</v>
      </c>
    </row>
    <row r="563" spans="1:26" s="431" customFormat="1" ht="14.25" hidden="1" customHeight="1" x14ac:dyDescent="0.2">
      <c r="A563" s="259" t="s">
        <v>93</v>
      </c>
      <c r="B563" s="271">
        <v>801</v>
      </c>
      <c r="C563" s="271" t="s">
        <v>312</v>
      </c>
      <c r="D563" s="252" t="s">
        <v>196</v>
      </c>
      <c r="E563" s="260" t="s">
        <v>467</v>
      </c>
      <c r="F563" s="252" t="s">
        <v>94</v>
      </c>
      <c r="G563" s="257"/>
      <c r="H563" s="257"/>
      <c r="I563" s="257">
        <v>-2000</v>
      </c>
      <c r="J563" s="257" t="e">
        <f>#REF!+I563</f>
        <v>#REF!</v>
      </c>
      <c r="K563" s="257">
        <v>-2000</v>
      </c>
      <c r="L563" s="257" t="e">
        <f>#REF!+J563</f>
        <v>#REF!</v>
      </c>
      <c r="M563" s="257" t="e">
        <f>#REF!+K563</f>
        <v>#REF!</v>
      </c>
      <c r="N563" s="257" t="e">
        <f>#REF!+L563</f>
        <v>#REF!</v>
      </c>
      <c r="O563" s="257" t="e">
        <f>#REF!+M563</f>
        <v>#REF!</v>
      </c>
      <c r="P563" s="257" t="e">
        <f>#REF!+N563</f>
        <v>#REF!</v>
      </c>
      <c r="Q563" s="257" t="e">
        <f>#REF!+O563</f>
        <v>#REF!</v>
      </c>
      <c r="R563" s="257" t="e">
        <f>#REF!+P563</f>
        <v>#REF!</v>
      </c>
      <c r="S563" s="257" t="e">
        <f>#REF!+Q563</f>
        <v>#REF!</v>
      </c>
      <c r="T563" s="257" t="e">
        <f>#REF!+R563</f>
        <v>#REF!</v>
      </c>
      <c r="U563" s="257" t="e">
        <f>#REF!+S563</f>
        <v>#REF!</v>
      </c>
      <c r="V563" s="257" t="e">
        <f>#REF!+T563</f>
        <v>#REF!</v>
      </c>
      <c r="W563" s="257" t="e">
        <f>#REF!+U563</f>
        <v>#REF!</v>
      </c>
      <c r="X563" s="257" t="e">
        <f>#REF!+V563</f>
        <v>#REF!</v>
      </c>
      <c r="Y563" s="257" t="e">
        <f>#REF!+W563</f>
        <v>#REF!</v>
      </c>
      <c r="Z563" s="257" t="e">
        <f>#REF!+X563</f>
        <v>#REF!</v>
      </c>
    </row>
    <row r="564" spans="1:26" s="431" customFormat="1" ht="16.5" hidden="1" customHeight="1" x14ac:dyDescent="0.2">
      <c r="A564" s="259" t="s">
        <v>103</v>
      </c>
      <c r="B564" s="271">
        <v>801</v>
      </c>
      <c r="C564" s="271" t="s">
        <v>312</v>
      </c>
      <c r="D564" s="252" t="s">
        <v>196</v>
      </c>
      <c r="E564" s="260" t="s">
        <v>467</v>
      </c>
      <c r="F564" s="252" t="s">
        <v>104</v>
      </c>
      <c r="G564" s="257"/>
      <c r="H564" s="257"/>
      <c r="I564" s="257">
        <v>-210</v>
      </c>
      <c r="J564" s="257" t="e">
        <f>#REF!+I564</f>
        <v>#REF!</v>
      </c>
      <c r="K564" s="257">
        <v>-210</v>
      </c>
      <c r="L564" s="257" t="e">
        <f>#REF!+J564</f>
        <v>#REF!</v>
      </c>
      <c r="M564" s="257" t="e">
        <f>#REF!+K564</f>
        <v>#REF!</v>
      </c>
      <c r="N564" s="257" t="e">
        <f>#REF!+L564</f>
        <v>#REF!</v>
      </c>
      <c r="O564" s="257" t="e">
        <f>#REF!+M564</f>
        <v>#REF!</v>
      </c>
      <c r="P564" s="257" t="e">
        <f>#REF!+N564</f>
        <v>#REF!</v>
      </c>
      <c r="Q564" s="257" t="e">
        <f>#REF!+O564</f>
        <v>#REF!</v>
      </c>
      <c r="R564" s="257" t="e">
        <f>#REF!+P564</f>
        <v>#REF!</v>
      </c>
      <c r="S564" s="257" t="e">
        <f>#REF!+Q564</f>
        <v>#REF!</v>
      </c>
      <c r="T564" s="257" t="e">
        <f>#REF!+R564</f>
        <v>#REF!</v>
      </c>
      <c r="U564" s="257" t="e">
        <f>#REF!+S564</f>
        <v>#REF!</v>
      </c>
      <c r="V564" s="257" t="e">
        <f>#REF!+T564</f>
        <v>#REF!</v>
      </c>
      <c r="W564" s="257" t="e">
        <f>#REF!+U564</f>
        <v>#REF!</v>
      </c>
      <c r="X564" s="257" t="e">
        <f>#REF!+V564</f>
        <v>#REF!</v>
      </c>
      <c r="Y564" s="257" t="e">
        <f>#REF!+W564</f>
        <v>#REF!</v>
      </c>
      <c r="Z564" s="257" t="e">
        <f>#REF!+X564</f>
        <v>#REF!</v>
      </c>
    </row>
    <row r="565" spans="1:26" s="431" customFormat="1" ht="15.75" hidden="1" customHeight="1" x14ac:dyDescent="0.2">
      <c r="A565" s="259" t="s">
        <v>105</v>
      </c>
      <c r="B565" s="271">
        <v>801</v>
      </c>
      <c r="C565" s="271" t="s">
        <v>312</v>
      </c>
      <c r="D565" s="252" t="s">
        <v>196</v>
      </c>
      <c r="E565" s="260" t="s">
        <v>467</v>
      </c>
      <c r="F565" s="252" t="s">
        <v>106</v>
      </c>
      <c r="G565" s="257"/>
      <c r="H565" s="257"/>
      <c r="I565" s="257">
        <v>-40</v>
      </c>
      <c r="J565" s="257" t="e">
        <f>#REF!+I565</f>
        <v>#REF!</v>
      </c>
      <c r="K565" s="257">
        <v>-40</v>
      </c>
      <c r="L565" s="257" t="e">
        <f>#REF!+J565</f>
        <v>#REF!</v>
      </c>
      <c r="M565" s="257" t="e">
        <f>#REF!+K565</f>
        <v>#REF!</v>
      </c>
      <c r="N565" s="257" t="e">
        <f>#REF!+L565</f>
        <v>#REF!</v>
      </c>
      <c r="O565" s="257" t="e">
        <f>#REF!+M565</f>
        <v>#REF!</v>
      </c>
      <c r="P565" s="257" t="e">
        <f>#REF!+N565</f>
        <v>#REF!</v>
      </c>
      <c r="Q565" s="257" t="e">
        <f>#REF!+O565</f>
        <v>#REF!</v>
      </c>
      <c r="R565" s="257" t="e">
        <f>#REF!+P565</f>
        <v>#REF!</v>
      </c>
      <c r="S565" s="257" t="e">
        <f>#REF!+Q565</f>
        <v>#REF!</v>
      </c>
      <c r="T565" s="257" t="e">
        <f>#REF!+R565</f>
        <v>#REF!</v>
      </c>
      <c r="U565" s="257" t="e">
        <f>#REF!+S565</f>
        <v>#REF!</v>
      </c>
      <c r="V565" s="257" t="e">
        <f>#REF!+T565</f>
        <v>#REF!</v>
      </c>
      <c r="W565" s="257" t="e">
        <f>#REF!+U565</f>
        <v>#REF!</v>
      </c>
      <c r="X565" s="257" t="e">
        <f>#REF!+V565</f>
        <v>#REF!</v>
      </c>
      <c r="Y565" s="257" t="e">
        <f>#REF!+W565</f>
        <v>#REF!</v>
      </c>
      <c r="Z565" s="257" t="e">
        <f>#REF!+X565</f>
        <v>#REF!</v>
      </c>
    </row>
    <row r="566" spans="1:26" s="431" customFormat="1" ht="21.75" customHeight="1" x14ac:dyDescent="0.2">
      <c r="A566" s="259" t="s">
        <v>506</v>
      </c>
      <c r="B566" s="271">
        <v>801</v>
      </c>
      <c r="C566" s="271" t="s">
        <v>312</v>
      </c>
      <c r="D566" s="252" t="s">
        <v>196</v>
      </c>
      <c r="E566" s="260" t="s">
        <v>868</v>
      </c>
      <c r="F566" s="252"/>
      <c r="G566" s="257" t="e">
        <f>#REF!+#REF!+#REF!+#REF!+#REF!+#REF!</f>
        <v>#REF!</v>
      </c>
      <c r="H566" s="257" t="e">
        <f>H567+H568+H569+#REF!+H572+H574+H575+H576</f>
        <v>#REF!</v>
      </c>
      <c r="I566" s="257" t="e">
        <f>I567+I568+I569+#REF!+I572+I574+I575+I576</f>
        <v>#REF!</v>
      </c>
      <c r="J566" s="257" t="e">
        <f>J567+J568+J569+#REF!+J572+J574+J575+J576</f>
        <v>#REF!</v>
      </c>
      <c r="K566" s="257" t="e">
        <f>K567+K568+K569+#REF!+K572+K574+K575+K576</f>
        <v>#REF!</v>
      </c>
      <c r="L566" s="257" t="e">
        <f>L567+L568+L569+#REF!+L572+L574+L575+L576</f>
        <v>#REF!</v>
      </c>
      <c r="M566" s="257" t="e">
        <f>M567+M568+M569+#REF!+M572+M574+M575+M576</f>
        <v>#REF!</v>
      </c>
      <c r="N566" s="257" t="e">
        <f>N567+N568+N569+#REF!+N572+N574+N575+N576</f>
        <v>#REF!</v>
      </c>
      <c r="O566" s="257" t="e">
        <f>O567+O568+O569+#REF!+O572+O574+O575+O576</f>
        <v>#REF!</v>
      </c>
      <c r="P566" s="257" t="e">
        <f>P567+P568+P569+#REF!+P572+P574+P575+P576</f>
        <v>#REF!</v>
      </c>
      <c r="Q566" s="257" t="e">
        <f>Q567+Q568+Q569+#REF!+Q572+Q574+Q575+Q576</f>
        <v>#REF!</v>
      </c>
      <c r="R566" s="257" t="e">
        <f>R567+R568+R569+#REF!+R572+R574+R575+R576+R570+R571</f>
        <v>#REF!</v>
      </c>
      <c r="S566" s="257" t="e">
        <f>S567+S568+S569+#REF!+S572+S574+S575+S576+S570+S571</f>
        <v>#REF!</v>
      </c>
      <c r="T566" s="257" t="e">
        <f>T567+T568+T569+#REF!+T572+T574+T575+T576+T570+T571+T573</f>
        <v>#REF!</v>
      </c>
      <c r="U566" s="257" t="e">
        <f>U567+U568+U569+#REF!+U572+U574+U575+U576+U570+U571+U573</f>
        <v>#REF!</v>
      </c>
      <c r="V566" s="257" t="e">
        <f>V567+V568+V569+#REF!+V572+V574+V575+V576+V570+V571+V573</f>
        <v>#REF!</v>
      </c>
      <c r="W566" s="257" t="e">
        <f>W567+W568+W569+#REF!+W572+W574+W575+W576+W570+W571+W573</f>
        <v>#REF!</v>
      </c>
      <c r="X566" s="257">
        <f>X567+X568+X569+X572+X574+X575+X576+X570+X571+X573</f>
        <v>14920</v>
      </c>
      <c r="Y566" s="257">
        <f t="shared" ref="Y566:Z566" si="938">Y567+Y568+Y569+Y572+Y574+Y575+Y576+Y570+Y571+Y573</f>
        <v>3560</v>
      </c>
      <c r="Z566" s="257">
        <f t="shared" si="938"/>
        <v>18480</v>
      </c>
    </row>
    <row r="567" spans="1:26" s="431" customFormat="1" ht="18.75" customHeight="1" x14ac:dyDescent="0.2">
      <c r="A567" s="375" t="s">
        <v>907</v>
      </c>
      <c r="B567" s="271">
        <v>801</v>
      </c>
      <c r="C567" s="271" t="s">
        <v>312</v>
      </c>
      <c r="D567" s="252" t="s">
        <v>196</v>
      </c>
      <c r="E567" s="260" t="s">
        <v>868</v>
      </c>
      <c r="F567" s="252" t="s">
        <v>96</v>
      </c>
      <c r="G567" s="257"/>
      <c r="H567" s="257">
        <v>8163</v>
      </c>
      <c r="I567" s="257">
        <v>-2300.4</v>
      </c>
      <c r="J567" s="257">
        <f>H567+I567</f>
        <v>5862.6</v>
      </c>
      <c r="K567" s="257">
        <v>0.05</v>
      </c>
      <c r="L567" s="257">
        <f>5161+68</f>
        <v>5229</v>
      </c>
      <c r="M567" s="257">
        <f>5161+68</f>
        <v>5229</v>
      </c>
      <c r="N567" s="257">
        <v>211</v>
      </c>
      <c r="O567" s="257">
        <f>M567+N567</f>
        <v>5440</v>
      </c>
      <c r="P567" s="257">
        <v>5440</v>
      </c>
      <c r="Q567" s="257">
        <v>0</v>
      </c>
      <c r="R567" s="257">
        <f t="shared" si="883"/>
        <v>5440</v>
      </c>
      <c r="S567" s="257">
        <f>3670-338.6</f>
        <v>3331.4</v>
      </c>
      <c r="T567" s="257">
        <v>9110</v>
      </c>
      <c r="U567" s="257">
        <v>-965</v>
      </c>
      <c r="V567" s="257">
        <v>9110</v>
      </c>
      <c r="W567" s="257">
        <v>487</v>
      </c>
      <c r="X567" s="257">
        <v>10430</v>
      </c>
      <c r="Y567" s="257">
        <v>-730</v>
      </c>
      <c r="Z567" s="257">
        <f t="shared" ref="Z567:Z576" si="939">X567+Y567</f>
        <v>9700</v>
      </c>
    </row>
    <row r="568" spans="1:26" s="431" customFormat="1" ht="15.75" customHeight="1" x14ac:dyDescent="0.2">
      <c r="A568" s="259" t="s">
        <v>97</v>
      </c>
      <c r="B568" s="271">
        <v>801</v>
      </c>
      <c r="C568" s="252" t="s">
        <v>190</v>
      </c>
      <c r="D568" s="252" t="s">
        <v>196</v>
      </c>
      <c r="E568" s="260" t="s">
        <v>868</v>
      </c>
      <c r="F568" s="252" t="s">
        <v>98</v>
      </c>
      <c r="G568" s="257"/>
      <c r="H568" s="257">
        <v>480</v>
      </c>
      <c r="I568" s="257">
        <v>0</v>
      </c>
      <c r="J568" s="257">
        <f t="shared" ref="J568:J575" si="940">H568+I568</f>
        <v>480</v>
      </c>
      <c r="K568" s="257">
        <v>0</v>
      </c>
      <c r="L568" s="257">
        <v>480</v>
      </c>
      <c r="M568" s="257">
        <v>480</v>
      </c>
      <c r="N568" s="257">
        <v>0</v>
      </c>
      <c r="O568" s="257">
        <f t="shared" ref="O568:O575" si="941">M568+N568</f>
        <v>480</v>
      </c>
      <c r="P568" s="257">
        <v>480</v>
      </c>
      <c r="Q568" s="257">
        <v>0</v>
      </c>
      <c r="R568" s="257">
        <f t="shared" si="883"/>
        <v>480</v>
      </c>
      <c r="S568" s="257">
        <v>-180</v>
      </c>
      <c r="T568" s="257">
        <f t="shared" ref="T568:T575" si="942">R568+S568</f>
        <v>300</v>
      </c>
      <c r="U568" s="257">
        <v>0</v>
      </c>
      <c r="V568" s="257">
        <v>300</v>
      </c>
      <c r="W568" s="257">
        <v>-300</v>
      </c>
      <c r="X568" s="257">
        <v>0</v>
      </c>
      <c r="Y568" s="257">
        <v>200</v>
      </c>
      <c r="Z568" s="257">
        <f t="shared" si="939"/>
        <v>200</v>
      </c>
    </row>
    <row r="569" spans="1:26" s="431" customFormat="1" ht="35.25" customHeight="1" x14ac:dyDescent="0.2">
      <c r="A569" s="375" t="s">
        <v>898</v>
      </c>
      <c r="B569" s="271">
        <v>801</v>
      </c>
      <c r="C569" s="252" t="s">
        <v>190</v>
      </c>
      <c r="D569" s="252" t="s">
        <v>196</v>
      </c>
      <c r="E569" s="260" t="s">
        <v>868</v>
      </c>
      <c r="F569" s="252" t="s">
        <v>896</v>
      </c>
      <c r="G569" s="257"/>
      <c r="H569" s="257"/>
      <c r="I569" s="257">
        <v>1508.1</v>
      </c>
      <c r="J569" s="257">
        <f t="shared" si="940"/>
        <v>1508.1</v>
      </c>
      <c r="K569" s="257">
        <v>0.02</v>
      </c>
      <c r="L569" s="257">
        <f>1559+62</f>
        <v>1621</v>
      </c>
      <c r="M569" s="257">
        <f>1559+62</f>
        <v>1621</v>
      </c>
      <c r="N569" s="257">
        <v>22</v>
      </c>
      <c r="O569" s="257">
        <f t="shared" si="941"/>
        <v>1643</v>
      </c>
      <c r="P569" s="257">
        <v>1643</v>
      </c>
      <c r="Q569" s="257">
        <v>0</v>
      </c>
      <c r="R569" s="257">
        <f t="shared" si="883"/>
        <v>1643</v>
      </c>
      <c r="S569" s="257">
        <f>1112-102.2</f>
        <v>1009.8</v>
      </c>
      <c r="T569" s="257">
        <v>2755</v>
      </c>
      <c r="U569" s="257">
        <v>-292</v>
      </c>
      <c r="V569" s="257">
        <v>2755</v>
      </c>
      <c r="W569" s="257">
        <v>147</v>
      </c>
      <c r="X569" s="257">
        <v>3150</v>
      </c>
      <c r="Y569" s="257">
        <v>-220</v>
      </c>
      <c r="Z569" s="257">
        <f t="shared" si="939"/>
        <v>2930</v>
      </c>
    </row>
    <row r="570" spans="1:26" s="431" customFormat="1" ht="20.25" customHeight="1" x14ac:dyDescent="0.2">
      <c r="A570" s="375" t="s">
        <v>907</v>
      </c>
      <c r="B570" s="271">
        <v>801</v>
      </c>
      <c r="C570" s="271" t="s">
        <v>312</v>
      </c>
      <c r="D570" s="252" t="s">
        <v>196</v>
      </c>
      <c r="E570" s="260" t="s">
        <v>1293</v>
      </c>
      <c r="F570" s="252" t="s">
        <v>96</v>
      </c>
      <c r="G570" s="257"/>
      <c r="H570" s="257"/>
      <c r="I570" s="257"/>
      <c r="J570" s="257"/>
      <c r="K570" s="257"/>
      <c r="L570" s="257"/>
      <c r="M570" s="257"/>
      <c r="N570" s="257"/>
      <c r="O570" s="257"/>
      <c r="P570" s="257"/>
      <c r="Q570" s="257"/>
      <c r="R570" s="257"/>
      <c r="S570" s="257">
        <f>1500</f>
        <v>1500</v>
      </c>
      <c r="T570" s="257">
        <f t="shared" si="942"/>
        <v>1500</v>
      </c>
      <c r="U570" s="257">
        <v>0</v>
      </c>
      <c r="V570" s="257">
        <v>0</v>
      </c>
      <c r="W570" s="257">
        <v>1500</v>
      </c>
      <c r="X570" s="257">
        <v>0</v>
      </c>
      <c r="Y570" s="257">
        <v>3000</v>
      </c>
      <c r="Z570" s="257">
        <f t="shared" si="939"/>
        <v>3000</v>
      </c>
    </row>
    <row r="571" spans="1:26" s="431" customFormat="1" ht="35.25" customHeight="1" x14ac:dyDescent="0.2">
      <c r="A571" s="375" t="s">
        <v>898</v>
      </c>
      <c r="B571" s="271">
        <v>801</v>
      </c>
      <c r="C571" s="271" t="s">
        <v>312</v>
      </c>
      <c r="D571" s="252" t="s">
        <v>196</v>
      </c>
      <c r="E571" s="260" t="s">
        <v>1293</v>
      </c>
      <c r="F571" s="252" t="s">
        <v>896</v>
      </c>
      <c r="G571" s="257"/>
      <c r="H571" s="257"/>
      <c r="I571" s="257"/>
      <c r="J571" s="257"/>
      <c r="K571" s="257"/>
      <c r="L571" s="257"/>
      <c r="M571" s="257"/>
      <c r="N571" s="257"/>
      <c r="O571" s="257"/>
      <c r="P571" s="257"/>
      <c r="Q571" s="257"/>
      <c r="R571" s="257"/>
      <c r="S571" s="257">
        <f>450</f>
        <v>450</v>
      </c>
      <c r="T571" s="257">
        <f t="shared" si="942"/>
        <v>450</v>
      </c>
      <c r="U571" s="257">
        <v>0</v>
      </c>
      <c r="V571" s="257">
        <v>0</v>
      </c>
      <c r="W571" s="257">
        <v>450</v>
      </c>
      <c r="X571" s="257">
        <v>0</v>
      </c>
      <c r="Y571" s="257">
        <v>900</v>
      </c>
      <c r="Z571" s="257">
        <f t="shared" si="939"/>
        <v>900</v>
      </c>
    </row>
    <row r="572" spans="1:26" s="431" customFormat="1" ht="21.75" customHeight="1" x14ac:dyDescent="0.2">
      <c r="A572" s="259" t="s">
        <v>93</v>
      </c>
      <c r="B572" s="271">
        <v>801</v>
      </c>
      <c r="C572" s="271" t="s">
        <v>312</v>
      </c>
      <c r="D572" s="252" t="s">
        <v>196</v>
      </c>
      <c r="E572" s="260" t="s">
        <v>868</v>
      </c>
      <c r="F572" s="252" t="s">
        <v>94</v>
      </c>
      <c r="G572" s="257"/>
      <c r="H572" s="257">
        <v>4000</v>
      </c>
      <c r="I572" s="257">
        <v>-437.6</v>
      </c>
      <c r="J572" s="257">
        <f t="shared" si="940"/>
        <v>3562.4</v>
      </c>
      <c r="K572" s="257">
        <v>-0.03</v>
      </c>
      <c r="L572" s="257">
        <v>4500</v>
      </c>
      <c r="M572" s="257">
        <v>4500</v>
      </c>
      <c r="N572" s="257">
        <v>0</v>
      </c>
      <c r="O572" s="257">
        <f t="shared" si="941"/>
        <v>4500</v>
      </c>
      <c r="P572" s="257">
        <v>4500</v>
      </c>
      <c r="Q572" s="257">
        <v>0</v>
      </c>
      <c r="R572" s="257">
        <f t="shared" si="883"/>
        <v>4500</v>
      </c>
      <c r="S572" s="257">
        <f>-3300-600</f>
        <v>-3900</v>
      </c>
      <c r="T572" s="257">
        <f t="shared" si="942"/>
        <v>600</v>
      </c>
      <c r="U572" s="257">
        <v>-400</v>
      </c>
      <c r="V572" s="257">
        <v>600</v>
      </c>
      <c r="W572" s="257">
        <f>140+12.31</f>
        <v>152.31</v>
      </c>
      <c r="X572" s="257">
        <v>740</v>
      </c>
      <c r="Y572" s="257">
        <v>0</v>
      </c>
      <c r="Z572" s="257">
        <f t="shared" si="939"/>
        <v>740</v>
      </c>
    </row>
    <row r="573" spans="1:26" s="431" customFormat="1" ht="21.75" customHeight="1" x14ac:dyDescent="0.2">
      <c r="A573" s="259" t="s">
        <v>1167</v>
      </c>
      <c r="B573" s="271">
        <v>801</v>
      </c>
      <c r="C573" s="271" t="s">
        <v>312</v>
      </c>
      <c r="D573" s="252" t="s">
        <v>196</v>
      </c>
      <c r="E573" s="260" t="s">
        <v>868</v>
      </c>
      <c r="F573" s="252" t="s">
        <v>1166</v>
      </c>
      <c r="G573" s="257"/>
      <c r="H573" s="257">
        <v>4000</v>
      </c>
      <c r="I573" s="257">
        <v>-437.6</v>
      </c>
      <c r="J573" s="257">
        <f t="shared" ref="J573" si="943">H573+I573</f>
        <v>3562.4</v>
      </c>
      <c r="K573" s="257">
        <v>-0.03</v>
      </c>
      <c r="L573" s="257">
        <v>4500</v>
      </c>
      <c r="M573" s="257">
        <v>4500</v>
      </c>
      <c r="N573" s="257">
        <v>0</v>
      </c>
      <c r="O573" s="257">
        <f t="shared" ref="O573" si="944">M573+N573</f>
        <v>4500</v>
      </c>
      <c r="P573" s="257">
        <v>4500</v>
      </c>
      <c r="Q573" s="257">
        <v>0</v>
      </c>
      <c r="R573" s="257">
        <f t="shared" ref="R573" si="945">P573+Q573</f>
        <v>4500</v>
      </c>
      <c r="S573" s="257">
        <f>-3300-600</f>
        <v>-3900</v>
      </c>
      <c r="T573" s="257">
        <v>0</v>
      </c>
      <c r="U573" s="257">
        <v>400</v>
      </c>
      <c r="V573" s="257">
        <v>0</v>
      </c>
      <c r="W573" s="257">
        <v>400</v>
      </c>
      <c r="X573" s="257">
        <v>400</v>
      </c>
      <c r="Y573" s="257">
        <v>0</v>
      </c>
      <c r="Z573" s="257">
        <f t="shared" si="939"/>
        <v>400</v>
      </c>
    </row>
    <row r="574" spans="1:26" s="431" customFormat="1" ht="15.75" customHeight="1" x14ac:dyDescent="0.2">
      <c r="A574" s="259" t="s">
        <v>103</v>
      </c>
      <c r="B574" s="271">
        <v>801</v>
      </c>
      <c r="C574" s="271" t="s">
        <v>312</v>
      </c>
      <c r="D574" s="252" t="s">
        <v>196</v>
      </c>
      <c r="E574" s="260" t="s">
        <v>868</v>
      </c>
      <c r="F574" s="252" t="s">
        <v>104</v>
      </c>
      <c r="G574" s="257"/>
      <c r="H574" s="257">
        <v>210</v>
      </c>
      <c r="I574" s="257">
        <v>-5</v>
      </c>
      <c r="J574" s="257">
        <f t="shared" si="940"/>
        <v>205</v>
      </c>
      <c r="K574" s="257">
        <v>-5</v>
      </c>
      <c r="L574" s="257">
        <v>230</v>
      </c>
      <c r="M574" s="257">
        <v>230</v>
      </c>
      <c r="N574" s="257">
        <v>0</v>
      </c>
      <c r="O574" s="257">
        <f t="shared" si="941"/>
        <v>230</v>
      </c>
      <c r="P574" s="257">
        <v>230</v>
      </c>
      <c r="Q574" s="257">
        <v>0</v>
      </c>
      <c r="R574" s="257">
        <f t="shared" si="883"/>
        <v>230</v>
      </c>
      <c r="S574" s="257">
        <v>-30</v>
      </c>
      <c r="T574" s="257">
        <f t="shared" si="942"/>
        <v>200</v>
      </c>
      <c r="U574" s="257">
        <v>0</v>
      </c>
      <c r="V574" s="257">
        <v>200</v>
      </c>
      <c r="W574" s="257">
        <v>0</v>
      </c>
      <c r="X574" s="257">
        <v>200</v>
      </c>
      <c r="Y574" s="257">
        <v>0</v>
      </c>
      <c r="Z574" s="257">
        <f t="shared" si="939"/>
        <v>200</v>
      </c>
    </row>
    <row r="575" spans="1:26" s="431" customFormat="1" ht="14.25" customHeight="1" x14ac:dyDescent="0.2">
      <c r="A575" s="259" t="s">
        <v>105</v>
      </c>
      <c r="B575" s="271">
        <v>801</v>
      </c>
      <c r="C575" s="271" t="s">
        <v>312</v>
      </c>
      <c r="D575" s="252" t="s">
        <v>196</v>
      </c>
      <c r="E575" s="260" t="s">
        <v>868</v>
      </c>
      <c r="F575" s="252" t="s">
        <v>106</v>
      </c>
      <c r="G575" s="257"/>
      <c r="H575" s="257">
        <v>80</v>
      </c>
      <c r="I575" s="257">
        <v>13.3</v>
      </c>
      <c r="J575" s="257">
        <f t="shared" si="940"/>
        <v>93.3</v>
      </c>
      <c r="K575" s="257">
        <v>0</v>
      </c>
      <c r="L575" s="257">
        <v>74</v>
      </c>
      <c r="M575" s="257">
        <v>74</v>
      </c>
      <c r="N575" s="257">
        <v>0</v>
      </c>
      <c r="O575" s="257">
        <f t="shared" si="941"/>
        <v>74</v>
      </c>
      <c r="P575" s="257">
        <v>74</v>
      </c>
      <c r="Q575" s="257">
        <v>0</v>
      </c>
      <c r="R575" s="257">
        <f t="shared" si="883"/>
        <v>74</v>
      </c>
      <c r="S575" s="257">
        <v>-74</v>
      </c>
      <c r="T575" s="257">
        <f t="shared" si="942"/>
        <v>0</v>
      </c>
      <c r="U575" s="257">
        <v>0</v>
      </c>
      <c r="V575" s="257">
        <f t="shared" ref="V575" si="946">T575+U575</f>
        <v>0</v>
      </c>
      <c r="W575" s="257">
        <v>0</v>
      </c>
      <c r="X575" s="257">
        <f t="shared" ref="X575" si="947">V575+W575</f>
        <v>0</v>
      </c>
      <c r="Y575" s="257">
        <v>60</v>
      </c>
      <c r="Z575" s="257">
        <f t="shared" si="939"/>
        <v>60</v>
      </c>
    </row>
    <row r="576" spans="1:26" s="431" customFormat="1" ht="18" customHeight="1" x14ac:dyDescent="0.2">
      <c r="A576" s="375" t="s">
        <v>906</v>
      </c>
      <c r="B576" s="271">
        <v>801</v>
      </c>
      <c r="C576" s="271" t="s">
        <v>312</v>
      </c>
      <c r="D576" s="252" t="s">
        <v>196</v>
      </c>
      <c r="E576" s="260" t="s">
        <v>868</v>
      </c>
      <c r="F576" s="252" t="s">
        <v>905</v>
      </c>
      <c r="G576" s="257"/>
      <c r="H576" s="257">
        <v>0</v>
      </c>
      <c r="I576" s="257">
        <v>5</v>
      </c>
      <c r="J576" s="257">
        <f>H576+I576</f>
        <v>5</v>
      </c>
      <c r="K576" s="257">
        <v>5</v>
      </c>
      <c r="L576" s="257">
        <v>0</v>
      </c>
      <c r="M576" s="257">
        <v>0</v>
      </c>
      <c r="N576" s="257">
        <v>0</v>
      </c>
      <c r="O576" s="257">
        <v>0</v>
      </c>
      <c r="P576" s="257">
        <v>0</v>
      </c>
      <c r="Q576" s="257">
        <v>0</v>
      </c>
      <c r="R576" s="257">
        <f t="shared" si="883"/>
        <v>0</v>
      </c>
      <c r="S576" s="257">
        <v>206</v>
      </c>
      <c r="T576" s="257">
        <v>0</v>
      </c>
      <c r="U576" s="257">
        <v>206</v>
      </c>
      <c r="V576" s="257">
        <v>0</v>
      </c>
      <c r="W576" s="257">
        <v>206</v>
      </c>
      <c r="X576" s="257">
        <v>0</v>
      </c>
      <c r="Y576" s="257">
        <v>350</v>
      </c>
      <c r="Z576" s="257">
        <f t="shared" si="939"/>
        <v>350</v>
      </c>
    </row>
    <row r="577" spans="1:26" s="431" customFormat="1" ht="43.5" customHeight="1" x14ac:dyDescent="0.2">
      <c r="A577" s="259" t="s">
        <v>1273</v>
      </c>
      <c r="B577" s="271">
        <v>801</v>
      </c>
      <c r="C577" s="271" t="s">
        <v>312</v>
      </c>
      <c r="D577" s="252" t="s">
        <v>196</v>
      </c>
      <c r="E577" s="260" t="s">
        <v>1272</v>
      </c>
      <c r="F577" s="252"/>
      <c r="G577" s="257"/>
      <c r="H577" s="257">
        <f t="shared" ref="H577:W577" si="948">H578</f>
        <v>31</v>
      </c>
      <c r="I577" s="257">
        <f t="shared" si="948"/>
        <v>0</v>
      </c>
      <c r="J577" s="257">
        <f t="shared" si="948"/>
        <v>31</v>
      </c>
      <c r="K577" s="257">
        <f t="shared" si="948"/>
        <v>0</v>
      </c>
      <c r="L577" s="257">
        <f t="shared" si="948"/>
        <v>33.5</v>
      </c>
      <c r="M577" s="257">
        <f t="shared" si="948"/>
        <v>33.5</v>
      </c>
      <c r="N577" s="257">
        <f t="shared" si="948"/>
        <v>2.2999999999999998</v>
      </c>
      <c r="O577" s="257">
        <f t="shared" si="948"/>
        <v>35.799999999999997</v>
      </c>
      <c r="P577" s="257">
        <f t="shared" si="948"/>
        <v>35.799999999999997</v>
      </c>
      <c r="Q577" s="257">
        <f t="shared" si="948"/>
        <v>2.1</v>
      </c>
      <c r="R577" s="257">
        <f t="shared" si="948"/>
        <v>37.9</v>
      </c>
      <c r="S577" s="257">
        <f t="shared" si="948"/>
        <v>17.5</v>
      </c>
      <c r="T577" s="257">
        <f t="shared" si="948"/>
        <v>55.4</v>
      </c>
      <c r="U577" s="257">
        <f t="shared" si="948"/>
        <v>4.0999999999999996</v>
      </c>
      <c r="V577" s="257">
        <f t="shared" si="948"/>
        <v>59.5</v>
      </c>
      <c r="W577" s="257">
        <f t="shared" si="948"/>
        <v>2.2999999999999998</v>
      </c>
      <c r="X577" s="257">
        <f>X578+X579</f>
        <v>64.3</v>
      </c>
      <c r="Y577" s="257">
        <f t="shared" ref="Y577:Z577" si="949">Y578+Y579</f>
        <v>0.60000000000000853</v>
      </c>
      <c r="Z577" s="257">
        <f t="shared" si="949"/>
        <v>64.900000000000006</v>
      </c>
    </row>
    <row r="578" spans="1:26" s="431" customFormat="1" ht="17.25" customHeight="1" x14ac:dyDescent="0.2">
      <c r="A578" s="259" t="s">
        <v>93</v>
      </c>
      <c r="B578" s="271">
        <v>801</v>
      </c>
      <c r="C578" s="271" t="s">
        <v>312</v>
      </c>
      <c r="D578" s="252" t="s">
        <v>196</v>
      </c>
      <c r="E578" s="260" t="s">
        <v>810</v>
      </c>
      <c r="F578" s="252" t="s">
        <v>94</v>
      </c>
      <c r="G578" s="257"/>
      <c r="H578" s="257">
        <v>31</v>
      </c>
      <c r="I578" s="257">
        <v>0</v>
      </c>
      <c r="J578" s="257">
        <f>H578+I578</f>
        <v>31</v>
      </c>
      <c r="K578" s="257">
        <v>0</v>
      </c>
      <c r="L578" s="257">
        <v>33.5</v>
      </c>
      <c r="M578" s="257">
        <v>33.5</v>
      </c>
      <c r="N578" s="257">
        <v>2.2999999999999998</v>
      </c>
      <c r="O578" s="257">
        <f>M578+N578</f>
        <v>35.799999999999997</v>
      </c>
      <c r="P578" s="257">
        <v>35.799999999999997</v>
      </c>
      <c r="Q578" s="257">
        <v>2.1</v>
      </c>
      <c r="R578" s="257">
        <f t="shared" si="883"/>
        <v>37.9</v>
      </c>
      <c r="S578" s="257">
        <v>17.5</v>
      </c>
      <c r="T578" s="257">
        <f t="shared" ref="T578" si="950">R578+S578</f>
        <v>55.4</v>
      </c>
      <c r="U578" s="257">
        <v>4.0999999999999996</v>
      </c>
      <c r="V578" s="257">
        <v>59.5</v>
      </c>
      <c r="W578" s="257">
        <v>2.2999999999999998</v>
      </c>
      <c r="X578" s="257">
        <v>64.3</v>
      </c>
      <c r="Y578" s="257">
        <v>-64.3</v>
      </c>
      <c r="Z578" s="257">
        <f t="shared" ref="Z578" si="951">X578+Y578</f>
        <v>0</v>
      </c>
    </row>
    <row r="579" spans="1:26" s="431" customFormat="1" ht="17.25" customHeight="1" x14ac:dyDescent="0.2">
      <c r="A579" s="259" t="s">
        <v>93</v>
      </c>
      <c r="B579" s="271">
        <v>801</v>
      </c>
      <c r="C579" s="271" t="s">
        <v>312</v>
      </c>
      <c r="D579" s="252" t="s">
        <v>196</v>
      </c>
      <c r="E579" s="260" t="s">
        <v>1272</v>
      </c>
      <c r="F579" s="252" t="s">
        <v>94</v>
      </c>
      <c r="G579" s="257"/>
      <c r="H579" s="257">
        <v>31</v>
      </c>
      <c r="I579" s="257">
        <v>0</v>
      </c>
      <c r="J579" s="257">
        <f>H579+I579</f>
        <v>31</v>
      </c>
      <c r="K579" s="257">
        <v>0</v>
      </c>
      <c r="L579" s="257">
        <v>33.5</v>
      </c>
      <c r="M579" s="257">
        <v>33.5</v>
      </c>
      <c r="N579" s="257">
        <v>2.2999999999999998</v>
      </c>
      <c r="O579" s="257">
        <f>M579+N579</f>
        <v>35.799999999999997</v>
      </c>
      <c r="P579" s="257">
        <v>35.799999999999997</v>
      </c>
      <c r="Q579" s="257">
        <v>2.1</v>
      </c>
      <c r="R579" s="257">
        <f t="shared" ref="R579" si="952">P579+Q579</f>
        <v>37.9</v>
      </c>
      <c r="S579" s="257">
        <v>17.5</v>
      </c>
      <c r="T579" s="257">
        <f t="shared" ref="T579" si="953">R579+S579</f>
        <v>55.4</v>
      </c>
      <c r="U579" s="257">
        <v>4.0999999999999996</v>
      </c>
      <c r="V579" s="257">
        <v>59.5</v>
      </c>
      <c r="W579" s="257">
        <v>2.2999999999999998</v>
      </c>
      <c r="X579" s="257">
        <v>0</v>
      </c>
      <c r="Y579" s="257">
        <v>64.900000000000006</v>
      </c>
      <c r="Z579" s="257">
        <f t="shared" ref="Z579" si="954">X579+Y579</f>
        <v>64.900000000000006</v>
      </c>
    </row>
    <row r="580" spans="1:26" s="431" customFormat="1" ht="37.5" customHeight="1" x14ac:dyDescent="0.2">
      <c r="A580" s="259" t="s">
        <v>943</v>
      </c>
      <c r="B580" s="249">
        <v>801</v>
      </c>
      <c r="C580" s="249" t="s">
        <v>312</v>
      </c>
      <c r="D580" s="250" t="s">
        <v>196</v>
      </c>
      <c r="E580" s="365" t="s">
        <v>1266</v>
      </c>
      <c r="F580" s="250"/>
      <c r="G580" s="275" t="e">
        <f>G581+G582+#REF!+G584</f>
        <v>#REF!</v>
      </c>
      <c r="H580" s="275" t="e">
        <f>H581+H582+H583+#REF!+H584</f>
        <v>#REF!</v>
      </c>
      <c r="I580" s="275" t="e">
        <f>I581+I582+I583+#REF!+I584</f>
        <v>#REF!</v>
      </c>
      <c r="J580" s="275" t="e">
        <f>J581+J582+J583+#REF!+J584</f>
        <v>#REF!</v>
      </c>
      <c r="K580" s="275" t="e">
        <f>K581+K582+K583+#REF!+K584</f>
        <v>#REF!</v>
      </c>
      <c r="L580" s="275" t="e">
        <f>L581+L582+L583+#REF!+L584</f>
        <v>#REF!</v>
      </c>
      <c r="M580" s="275" t="e">
        <f>M581+M582+M583+#REF!+M584</f>
        <v>#REF!</v>
      </c>
      <c r="N580" s="275" t="e">
        <f>N581+N582+N583+#REF!+N584</f>
        <v>#REF!</v>
      </c>
      <c r="O580" s="275" t="e">
        <f>O581+O582+O583+#REF!+O584</f>
        <v>#REF!</v>
      </c>
      <c r="P580" s="275" t="e">
        <f>P581+P582+P583+#REF!+P584</f>
        <v>#REF!</v>
      </c>
      <c r="Q580" s="275" t="e">
        <f>Q581+Q582+Q583+#REF!+Q584</f>
        <v>#REF!</v>
      </c>
      <c r="R580" s="275" t="e">
        <f>R581+R582+R583+#REF!+R584</f>
        <v>#REF!</v>
      </c>
      <c r="S580" s="275" t="e">
        <f>S581+S582+S583+#REF!+S584</f>
        <v>#REF!</v>
      </c>
      <c r="T580" s="275" t="e">
        <f>T581+T582+T583+#REF!+T584</f>
        <v>#REF!</v>
      </c>
      <c r="U580" s="275" t="e">
        <f>U581+U582+U583+#REF!+U584</f>
        <v>#REF!</v>
      </c>
      <c r="V580" s="275" t="e">
        <f>V581+V582+V583+#REF!+V584</f>
        <v>#REF!</v>
      </c>
      <c r="W580" s="275" t="e">
        <f>W581+W582+W583+#REF!+W584</f>
        <v>#REF!</v>
      </c>
      <c r="X580" s="275">
        <f>X581+X582+X583+X584+X585+X586+X587+X588</f>
        <v>2627.4</v>
      </c>
      <c r="Y580" s="275">
        <f t="shared" ref="Y580:Z580" si="955">Y581+Y582+Y583+Y584+Y585+Y586+Y587+Y588</f>
        <v>310.79999999999984</v>
      </c>
      <c r="Z580" s="275">
        <f t="shared" si="955"/>
        <v>2938.2000000000003</v>
      </c>
    </row>
    <row r="581" spans="1:26" s="431" customFormat="1" ht="18.75" customHeight="1" x14ac:dyDescent="0.2">
      <c r="A581" s="259" t="s">
        <v>95</v>
      </c>
      <c r="B581" s="271">
        <v>801</v>
      </c>
      <c r="C581" s="271" t="s">
        <v>312</v>
      </c>
      <c r="D581" s="252" t="s">
        <v>196</v>
      </c>
      <c r="E581" s="260" t="s">
        <v>871</v>
      </c>
      <c r="F581" s="252" t="s">
        <v>96</v>
      </c>
      <c r="G581" s="257"/>
      <c r="H581" s="257">
        <v>1300</v>
      </c>
      <c r="I581" s="257">
        <v>-286.79000000000002</v>
      </c>
      <c r="J581" s="257">
        <f t="shared" ref="J581:J588" si="956">H581+I581</f>
        <v>1013.21</v>
      </c>
      <c r="K581" s="257">
        <v>0</v>
      </c>
      <c r="L581" s="257">
        <v>1014</v>
      </c>
      <c r="M581" s="257">
        <v>1014</v>
      </c>
      <c r="N581" s="257">
        <v>12</v>
      </c>
      <c r="O581" s="257">
        <f>M581+N581</f>
        <v>1026</v>
      </c>
      <c r="P581" s="257">
        <v>1026</v>
      </c>
      <c r="Q581" s="257">
        <v>262</v>
      </c>
      <c r="R581" s="257">
        <f t="shared" si="883"/>
        <v>1288</v>
      </c>
      <c r="S581" s="257">
        <v>100</v>
      </c>
      <c r="T581" s="257">
        <f t="shared" ref="T581:T584" si="957">R581+S581</f>
        <v>1388</v>
      </c>
      <c r="U581" s="257">
        <f>63+235</f>
        <v>298</v>
      </c>
      <c r="V581" s="257">
        <v>1388</v>
      </c>
      <c r="W581" s="257">
        <v>362.9</v>
      </c>
      <c r="X581" s="257">
        <v>1857.6000000000001</v>
      </c>
      <c r="Y581" s="257">
        <v>-1857.6</v>
      </c>
      <c r="Z581" s="257">
        <f t="shared" ref="Z581:Z584" si="958">X581+Y581</f>
        <v>0</v>
      </c>
    </row>
    <row r="582" spans="1:26" s="431" customFormat="1" ht="15.75" customHeight="1" x14ac:dyDescent="0.2">
      <c r="A582" s="259" t="s">
        <v>97</v>
      </c>
      <c r="B582" s="271">
        <v>801</v>
      </c>
      <c r="C582" s="271" t="s">
        <v>312</v>
      </c>
      <c r="D582" s="252" t="s">
        <v>196</v>
      </c>
      <c r="E582" s="260" t="s">
        <v>871</v>
      </c>
      <c r="F582" s="252" t="s">
        <v>98</v>
      </c>
      <c r="G582" s="257"/>
      <c r="H582" s="257">
        <v>6</v>
      </c>
      <c r="I582" s="257">
        <v>0</v>
      </c>
      <c r="J582" s="257">
        <f t="shared" si="956"/>
        <v>6</v>
      </c>
      <c r="K582" s="257">
        <v>0</v>
      </c>
      <c r="L582" s="257">
        <f t="shared" ref="L582:M582" si="959">I582+J582</f>
        <v>6</v>
      </c>
      <c r="M582" s="257">
        <f t="shared" si="959"/>
        <v>6</v>
      </c>
      <c r="N582" s="257">
        <v>0</v>
      </c>
      <c r="O582" s="257">
        <f t="shared" ref="O582:O584" si="960">M582+N582</f>
        <v>6</v>
      </c>
      <c r="P582" s="257">
        <v>6</v>
      </c>
      <c r="Q582" s="257">
        <v>4</v>
      </c>
      <c r="R582" s="257">
        <f t="shared" si="883"/>
        <v>10</v>
      </c>
      <c r="S582" s="257">
        <v>0</v>
      </c>
      <c r="T582" s="257">
        <f t="shared" si="957"/>
        <v>10</v>
      </c>
      <c r="U582" s="257">
        <v>0</v>
      </c>
      <c r="V582" s="257">
        <v>10</v>
      </c>
      <c r="W582" s="257">
        <v>0</v>
      </c>
      <c r="X582" s="257">
        <v>130</v>
      </c>
      <c r="Y582" s="257">
        <v>-130</v>
      </c>
      <c r="Z582" s="257">
        <f t="shared" si="958"/>
        <v>0</v>
      </c>
    </row>
    <row r="583" spans="1:26" s="431" customFormat="1" ht="37.5" customHeight="1" x14ac:dyDescent="0.2">
      <c r="A583" s="375" t="s">
        <v>898</v>
      </c>
      <c r="B583" s="271">
        <v>801</v>
      </c>
      <c r="C583" s="271" t="s">
        <v>312</v>
      </c>
      <c r="D583" s="252" t="s">
        <v>196</v>
      </c>
      <c r="E583" s="260" t="s">
        <v>871</v>
      </c>
      <c r="F583" s="252" t="s">
        <v>896</v>
      </c>
      <c r="G583" s="257"/>
      <c r="H583" s="257">
        <v>0</v>
      </c>
      <c r="I583" s="257">
        <v>286.79000000000002</v>
      </c>
      <c r="J583" s="257">
        <f t="shared" si="956"/>
        <v>286.79000000000002</v>
      </c>
      <c r="K583" s="257">
        <v>0</v>
      </c>
      <c r="L583" s="257">
        <v>306</v>
      </c>
      <c r="M583" s="257">
        <v>306</v>
      </c>
      <c r="N583" s="257">
        <v>4</v>
      </c>
      <c r="O583" s="257">
        <f t="shared" si="960"/>
        <v>310</v>
      </c>
      <c r="P583" s="257">
        <v>310</v>
      </c>
      <c r="Q583" s="257">
        <v>88</v>
      </c>
      <c r="R583" s="257">
        <f t="shared" si="883"/>
        <v>398</v>
      </c>
      <c r="S583" s="257">
        <v>21</v>
      </c>
      <c r="T583" s="257">
        <f t="shared" si="957"/>
        <v>419</v>
      </c>
      <c r="U583" s="257">
        <f>19+71</f>
        <v>90</v>
      </c>
      <c r="V583" s="257">
        <v>419</v>
      </c>
      <c r="W583" s="257">
        <v>109.8</v>
      </c>
      <c r="X583" s="257">
        <v>560.9</v>
      </c>
      <c r="Y583" s="257">
        <v>-560.9</v>
      </c>
      <c r="Z583" s="257">
        <f t="shared" si="958"/>
        <v>0</v>
      </c>
    </row>
    <row r="584" spans="1:26" s="431" customFormat="1" ht="20.25" customHeight="1" x14ac:dyDescent="0.2">
      <c r="A584" s="259" t="s">
        <v>93</v>
      </c>
      <c r="B584" s="271">
        <v>801</v>
      </c>
      <c r="C584" s="271" t="s">
        <v>312</v>
      </c>
      <c r="D584" s="252" t="s">
        <v>196</v>
      </c>
      <c r="E584" s="260" t="s">
        <v>871</v>
      </c>
      <c r="F584" s="252" t="s">
        <v>94</v>
      </c>
      <c r="G584" s="257"/>
      <c r="H584" s="257">
        <v>15</v>
      </c>
      <c r="I584" s="257">
        <v>0</v>
      </c>
      <c r="J584" s="257">
        <f t="shared" si="956"/>
        <v>15</v>
      </c>
      <c r="K584" s="257">
        <v>0</v>
      </c>
      <c r="L584" s="257">
        <v>33</v>
      </c>
      <c r="M584" s="257">
        <v>33</v>
      </c>
      <c r="N584" s="257">
        <v>5.7</v>
      </c>
      <c r="O584" s="257">
        <f t="shared" si="960"/>
        <v>38.700000000000003</v>
      </c>
      <c r="P584" s="257">
        <v>38.700000000000003</v>
      </c>
      <c r="Q584" s="257">
        <v>651.29999999999995</v>
      </c>
      <c r="R584" s="257">
        <f t="shared" si="883"/>
        <v>690</v>
      </c>
      <c r="S584" s="257">
        <v>-131</v>
      </c>
      <c r="T584" s="257">
        <f t="shared" si="957"/>
        <v>559</v>
      </c>
      <c r="U584" s="257">
        <f>21-306</f>
        <v>-285</v>
      </c>
      <c r="V584" s="257">
        <v>662</v>
      </c>
      <c r="W584" s="257">
        <v>-532</v>
      </c>
      <c r="X584" s="257">
        <v>78.900000000000006</v>
      </c>
      <c r="Y584" s="257">
        <v>-78.900000000000006</v>
      </c>
      <c r="Z584" s="257">
        <f t="shared" si="958"/>
        <v>0</v>
      </c>
    </row>
    <row r="585" spans="1:26" s="431" customFormat="1" ht="20.25" customHeight="1" x14ac:dyDescent="0.2">
      <c r="A585" s="259" t="s">
        <v>95</v>
      </c>
      <c r="B585" s="271">
        <v>801</v>
      </c>
      <c r="C585" s="271" t="s">
        <v>312</v>
      </c>
      <c r="D585" s="252" t="s">
        <v>196</v>
      </c>
      <c r="E585" s="260" t="s">
        <v>1266</v>
      </c>
      <c r="F585" s="252" t="s">
        <v>96</v>
      </c>
      <c r="G585" s="257"/>
      <c r="H585" s="257">
        <v>1300</v>
      </c>
      <c r="I585" s="257">
        <v>-286.79000000000002</v>
      </c>
      <c r="J585" s="257">
        <f t="shared" si="956"/>
        <v>1013.21</v>
      </c>
      <c r="K585" s="257">
        <v>0</v>
      </c>
      <c r="L585" s="257">
        <v>1014</v>
      </c>
      <c r="M585" s="257">
        <v>1014</v>
      </c>
      <c r="N585" s="257">
        <v>12</v>
      </c>
      <c r="O585" s="257">
        <f>M585+N585</f>
        <v>1026</v>
      </c>
      <c r="P585" s="257">
        <v>1026</v>
      </c>
      <c r="Q585" s="257">
        <v>262</v>
      </c>
      <c r="R585" s="257">
        <f t="shared" ref="R585:R588" si="961">P585+Q585</f>
        <v>1288</v>
      </c>
      <c r="S585" s="257">
        <v>100</v>
      </c>
      <c r="T585" s="257">
        <f t="shared" ref="T585:T588" si="962">R585+S585</f>
        <v>1388</v>
      </c>
      <c r="U585" s="257">
        <f>63+235</f>
        <v>298</v>
      </c>
      <c r="V585" s="257">
        <v>1388</v>
      </c>
      <c r="W585" s="257">
        <v>362.9</v>
      </c>
      <c r="X585" s="257">
        <v>0</v>
      </c>
      <c r="Y585" s="257">
        <v>2103.5</v>
      </c>
      <c r="Z585" s="257">
        <f t="shared" ref="Z585:Z588" si="963">X585+Y585</f>
        <v>2103.5</v>
      </c>
    </row>
    <row r="586" spans="1:26" s="431" customFormat="1" ht="20.25" hidden="1" customHeight="1" x14ac:dyDescent="0.2">
      <c r="A586" s="259" t="s">
        <v>97</v>
      </c>
      <c r="B586" s="271">
        <v>801</v>
      </c>
      <c r="C586" s="271" t="s">
        <v>312</v>
      </c>
      <c r="D586" s="252" t="s">
        <v>196</v>
      </c>
      <c r="E586" s="260" t="s">
        <v>1266</v>
      </c>
      <c r="F586" s="252" t="s">
        <v>98</v>
      </c>
      <c r="G586" s="257"/>
      <c r="H586" s="257">
        <v>6</v>
      </c>
      <c r="I586" s="257">
        <v>0</v>
      </c>
      <c r="J586" s="257">
        <f t="shared" si="956"/>
        <v>6</v>
      </c>
      <c r="K586" s="257">
        <v>0</v>
      </c>
      <c r="L586" s="257">
        <f t="shared" ref="L586" si="964">I586+J586</f>
        <v>6</v>
      </c>
      <c r="M586" s="257">
        <f t="shared" ref="M586" si="965">J586+K586</f>
        <v>6</v>
      </c>
      <c r="N586" s="257">
        <v>0</v>
      </c>
      <c r="O586" s="257">
        <f t="shared" ref="O586:O588" si="966">M586+N586</f>
        <v>6</v>
      </c>
      <c r="P586" s="257">
        <v>6</v>
      </c>
      <c r="Q586" s="257">
        <v>4</v>
      </c>
      <c r="R586" s="257">
        <f t="shared" si="961"/>
        <v>10</v>
      </c>
      <c r="S586" s="257">
        <v>0</v>
      </c>
      <c r="T586" s="257">
        <f t="shared" si="962"/>
        <v>10</v>
      </c>
      <c r="U586" s="257">
        <v>0</v>
      </c>
      <c r="V586" s="257">
        <v>10</v>
      </c>
      <c r="W586" s="257">
        <v>0</v>
      </c>
      <c r="X586" s="257">
        <v>0</v>
      </c>
      <c r="Y586" s="257">
        <v>0</v>
      </c>
      <c r="Z586" s="257">
        <f t="shared" si="963"/>
        <v>0</v>
      </c>
    </row>
    <row r="587" spans="1:26" s="431" customFormat="1" ht="26.25" customHeight="1" x14ac:dyDescent="0.2">
      <c r="A587" s="375" t="s">
        <v>898</v>
      </c>
      <c r="B587" s="271">
        <v>801</v>
      </c>
      <c r="C587" s="271" t="s">
        <v>312</v>
      </c>
      <c r="D587" s="252" t="s">
        <v>196</v>
      </c>
      <c r="E587" s="260" t="s">
        <v>1266</v>
      </c>
      <c r="F587" s="252" t="s">
        <v>896</v>
      </c>
      <c r="G587" s="257"/>
      <c r="H587" s="257">
        <v>0</v>
      </c>
      <c r="I587" s="257">
        <v>286.79000000000002</v>
      </c>
      <c r="J587" s="257">
        <f t="shared" si="956"/>
        <v>286.79000000000002</v>
      </c>
      <c r="K587" s="257">
        <v>0</v>
      </c>
      <c r="L587" s="257">
        <v>306</v>
      </c>
      <c r="M587" s="257">
        <v>306</v>
      </c>
      <c r="N587" s="257">
        <v>4</v>
      </c>
      <c r="O587" s="257">
        <f t="shared" si="966"/>
        <v>310</v>
      </c>
      <c r="P587" s="257">
        <v>310</v>
      </c>
      <c r="Q587" s="257">
        <v>88</v>
      </c>
      <c r="R587" s="257">
        <f t="shared" si="961"/>
        <v>398</v>
      </c>
      <c r="S587" s="257">
        <v>21</v>
      </c>
      <c r="T587" s="257">
        <f t="shared" si="962"/>
        <v>419</v>
      </c>
      <c r="U587" s="257">
        <f>19+71</f>
        <v>90</v>
      </c>
      <c r="V587" s="257">
        <v>419</v>
      </c>
      <c r="W587" s="257">
        <v>109.8</v>
      </c>
      <c r="X587" s="257">
        <v>0</v>
      </c>
      <c r="Y587" s="257">
        <v>635.29999999999995</v>
      </c>
      <c r="Z587" s="257">
        <f t="shared" si="963"/>
        <v>635.29999999999995</v>
      </c>
    </row>
    <row r="588" spans="1:26" s="432" customFormat="1" ht="15.75" customHeight="1" x14ac:dyDescent="0.2">
      <c r="A588" s="259" t="s">
        <v>93</v>
      </c>
      <c r="B588" s="271">
        <v>801</v>
      </c>
      <c r="C588" s="271" t="s">
        <v>312</v>
      </c>
      <c r="D588" s="252" t="s">
        <v>196</v>
      </c>
      <c r="E588" s="260" t="s">
        <v>1266</v>
      </c>
      <c r="F588" s="252" t="s">
        <v>94</v>
      </c>
      <c r="G588" s="257"/>
      <c r="H588" s="257">
        <v>15</v>
      </c>
      <c r="I588" s="257">
        <v>0</v>
      </c>
      <c r="J588" s="257">
        <f t="shared" si="956"/>
        <v>15</v>
      </c>
      <c r="K588" s="257">
        <v>0</v>
      </c>
      <c r="L588" s="257">
        <v>33</v>
      </c>
      <c r="M588" s="257">
        <v>33</v>
      </c>
      <c r="N588" s="257">
        <v>5.7</v>
      </c>
      <c r="O588" s="257">
        <f t="shared" si="966"/>
        <v>38.700000000000003</v>
      </c>
      <c r="P588" s="257">
        <v>38.700000000000003</v>
      </c>
      <c r="Q588" s="257">
        <v>651.29999999999995</v>
      </c>
      <c r="R588" s="257">
        <f t="shared" si="961"/>
        <v>690</v>
      </c>
      <c r="S588" s="257">
        <v>-131</v>
      </c>
      <c r="T588" s="257">
        <f t="shared" si="962"/>
        <v>559</v>
      </c>
      <c r="U588" s="257">
        <f>21-306</f>
        <v>-285</v>
      </c>
      <c r="V588" s="257">
        <v>662</v>
      </c>
      <c r="W588" s="257">
        <v>-532</v>
      </c>
      <c r="X588" s="257">
        <v>0</v>
      </c>
      <c r="Y588" s="257">
        <v>199.4</v>
      </c>
      <c r="Z588" s="257">
        <f t="shared" si="963"/>
        <v>199.4</v>
      </c>
    </row>
    <row r="589" spans="1:26" s="432" customFormat="1" ht="15.75" customHeight="1" x14ac:dyDescent="0.2">
      <c r="A589" s="462" t="s">
        <v>197</v>
      </c>
      <c r="B589" s="249">
        <v>801</v>
      </c>
      <c r="C589" s="249" t="s">
        <v>190</v>
      </c>
      <c r="D589" s="250" t="s">
        <v>198</v>
      </c>
      <c r="E589" s="365"/>
      <c r="F589" s="250"/>
      <c r="G589" s="275"/>
      <c r="H589" s="275"/>
      <c r="I589" s="275"/>
      <c r="J589" s="275"/>
      <c r="K589" s="275"/>
      <c r="L589" s="275"/>
      <c r="M589" s="275"/>
      <c r="N589" s="275"/>
      <c r="O589" s="275"/>
      <c r="P589" s="275"/>
      <c r="Q589" s="275"/>
      <c r="R589" s="275"/>
      <c r="S589" s="275"/>
      <c r="T589" s="275"/>
      <c r="U589" s="275"/>
      <c r="V589" s="275"/>
      <c r="W589" s="275"/>
      <c r="X589" s="275">
        <f>X590</f>
        <v>1.4000000000000001</v>
      </c>
      <c r="Y589" s="275">
        <f t="shared" ref="Y589:Z589" si="967">Y590</f>
        <v>3.4</v>
      </c>
      <c r="Z589" s="275">
        <f t="shared" si="967"/>
        <v>4.8</v>
      </c>
    </row>
    <row r="590" spans="1:26" s="431" customFormat="1" ht="33" customHeight="1" x14ac:dyDescent="0.2">
      <c r="A590" s="259" t="s">
        <v>843</v>
      </c>
      <c r="B590" s="271">
        <v>801</v>
      </c>
      <c r="C590" s="271" t="s">
        <v>312</v>
      </c>
      <c r="D590" s="252" t="s">
        <v>198</v>
      </c>
      <c r="E590" s="260" t="s">
        <v>1286</v>
      </c>
      <c r="F590" s="252"/>
      <c r="G590" s="257"/>
      <c r="H590" s="257">
        <f>H591</f>
        <v>8.8000000000000007</v>
      </c>
      <c r="I590" s="257">
        <f t="shared" ref="I590:W590" si="968">I591</f>
        <v>0</v>
      </c>
      <c r="J590" s="257">
        <f t="shared" si="968"/>
        <v>8.8049999999999997</v>
      </c>
      <c r="K590" s="257">
        <f t="shared" si="968"/>
        <v>0</v>
      </c>
      <c r="L590" s="257">
        <f t="shared" si="968"/>
        <v>0</v>
      </c>
      <c r="M590" s="257">
        <f t="shared" si="968"/>
        <v>0</v>
      </c>
      <c r="N590" s="257">
        <f t="shared" si="968"/>
        <v>6.2</v>
      </c>
      <c r="O590" s="257">
        <f t="shared" si="968"/>
        <v>6.2</v>
      </c>
      <c r="P590" s="257">
        <f t="shared" si="968"/>
        <v>10</v>
      </c>
      <c r="Q590" s="257">
        <f t="shared" si="968"/>
        <v>-2.1</v>
      </c>
      <c r="R590" s="257">
        <f t="shared" si="968"/>
        <v>7.9</v>
      </c>
      <c r="S590" s="257">
        <f t="shared" si="968"/>
        <v>0</v>
      </c>
      <c r="T590" s="257">
        <f t="shared" si="968"/>
        <v>8.4</v>
      </c>
      <c r="U590" s="257">
        <f t="shared" si="968"/>
        <v>-0.9</v>
      </c>
      <c r="V590" s="257">
        <f t="shared" si="968"/>
        <v>63.4</v>
      </c>
      <c r="W590" s="257">
        <f t="shared" si="968"/>
        <v>5.3</v>
      </c>
      <c r="X590" s="257">
        <f>X591+X592</f>
        <v>1.4000000000000001</v>
      </c>
      <c r="Y590" s="257">
        <f t="shared" ref="Y590:Z590" si="969">Y591+Y592</f>
        <v>3.4</v>
      </c>
      <c r="Z590" s="257">
        <f t="shared" si="969"/>
        <v>4.8</v>
      </c>
    </row>
    <row r="591" spans="1:26" s="431" customFormat="1" ht="16.5" customHeight="1" x14ac:dyDescent="0.2">
      <c r="A591" s="259" t="s">
        <v>93</v>
      </c>
      <c r="B591" s="271">
        <v>801</v>
      </c>
      <c r="C591" s="271" t="s">
        <v>312</v>
      </c>
      <c r="D591" s="252" t="s">
        <v>198</v>
      </c>
      <c r="E591" s="260" t="s">
        <v>844</v>
      </c>
      <c r="F591" s="252" t="s">
        <v>94</v>
      </c>
      <c r="G591" s="257"/>
      <c r="H591" s="257">
        <v>8.8000000000000007</v>
      </c>
      <c r="I591" s="257">
        <v>0</v>
      </c>
      <c r="J591" s="257">
        <v>8.8049999999999997</v>
      </c>
      <c r="K591" s="257">
        <v>0</v>
      </c>
      <c r="L591" s="257">
        <v>0</v>
      </c>
      <c r="M591" s="257">
        <v>0</v>
      </c>
      <c r="N591" s="257">
        <v>6.2</v>
      </c>
      <c r="O591" s="257">
        <f>M591+N591</f>
        <v>6.2</v>
      </c>
      <c r="P591" s="257">
        <v>10</v>
      </c>
      <c r="Q591" s="257">
        <v>-2.1</v>
      </c>
      <c r="R591" s="257">
        <f t="shared" si="883"/>
        <v>7.9</v>
      </c>
      <c r="S591" s="257">
        <v>0</v>
      </c>
      <c r="T591" s="257">
        <v>8.4</v>
      </c>
      <c r="U591" s="257">
        <v>-0.9</v>
      </c>
      <c r="V591" s="257">
        <v>63.4</v>
      </c>
      <c r="W591" s="257">
        <v>5.3</v>
      </c>
      <c r="X591" s="257">
        <v>1.4000000000000001</v>
      </c>
      <c r="Y591" s="257">
        <v>-1.4</v>
      </c>
      <c r="Z591" s="257">
        <f t="shared" ref="Z591:Z595" si="970">X591+Y591</f>
        <v>0</v>
      </c>
    </row>
    <row r="592" spans="1:26" s="431" customFormat="1" ht="16.5" customHeight="1" x14ac:dyDescent="0.2">
      <c r="A592" s="259" t="s">
        <v>93</v>
      </c>
      <c r="B592" s="271">
        <v>801</v>
      </c>
      <c r="C592" s="271" t="s">
        <v>312</v>
      </c>
      <c r="D592" s="252" t="s">
        <v>198</v>
      </c>
      <c r="E592" s="260" t="s">
        <v>1286</v>
      </c>
      <c r="F592" s="252" t="s">
        <v>94</v>
      </c>
      <c r="G592" s="257"/>
      <c r="H592" s="257">
        <v>8.8000000000000007</v>
      </c>
      <c r="I592" s="257">
        <v>0</v>
      </c>
      <c r="J592" s="257">
        <v>8.8049999999999997</v>
      </c>
      <c r="K592" s="257">
        <v>0</v>
      </c>
      <c r="L592" s="257">
        <v>0</v>
      </c>
      <c r="M592" s="257">
        <v>0</v>
      </c>
      <c r="N592" s="257">
        <v>6.2</v>
      </c>
      <c r="O592" s="257">
        <f>M592+N592</f>
        <v>6.2</v>
      </c>
      <c r="P592" s="257">
        <v>10</v>
      </c>
      <c r="Q592" s="257">
        <v>-2.1</v>
      </c>
      <c r="R592" s="257">
        <f t="shared" ref="R592" si="971">P592+Q592</f>
        <v>7.9</v>
      </c>
      <c r="S592" s="257">
        <v>0</v>
      </c>
      <c r="T592" s="257">
        <v>8.4</v>
      </c>
      <c r="U592" s="257">
        <v>-0.9</v>
      </c>
      <c r="V592" s="257">
        <v>63.4</v>
      </c>
      <c r="W592" s="257">
        <v>5.3</v>
      </c>
      <c r="X592" s="257">
        <v>0</v>
      </c>
      <c r="Y592" s="257">
        <v>4.8</v>
      </c>
      <c r="Z592" s="257">
        <f t="shared" ref="Z592" si="972">X592+Y592</f>
        <v>4.8</v>
      </c>
    </row>
    <row r="593" spans="1:26" s="432" customFormat="1" ht="24" hidden="1" customHeight="1" x14ac:dyDescent="0.2">
      <c r="A593" s="462" t="s">
        <v>201</v>
      </c>
      <c r="B593" s="249">
        <v>801</v>
      </c>
      <c r="C593" s="249" t="s">
        <v>312</v>
      </c>
      <c r="D593" s="250" t="s">
        <v>202</v>
      </c>
      <c r="E593" s="365"/>
      <c r="F593" s="250"/>
      <c r="G593" s="275"/>
      <c r="H593" s="275">
        <f t="shared" ref="H593:Q594" si="973">H594</f>
        <v>175.25</v>
      </c>
      <c r="I593" s="275">
        <f t="shared" si="973"/>
        <v>-83.87</v>
      </c>
      <c r="J593" s="275">
        <f t="shared" si="973"/>
        <v>91.38</v>
      </c>
      <c r="K593" s="275">
        <f t="shared" si="973"/>
        <v>0</v>
      </c>
      <c r="L593" s="275">
        <f t="shared" si="973"/>
        <v>0</v>
      </c>
      <c r="M593" s="275">
        <f t="shared" si="973"/>
        <v>0</v>
      </c>
      <c r="N593" s="275">
        <f t="shared" si="973"/>
        <v>1</v>
      </c>
      <c r="O593" s="275">
        <f t="shared" si="973"/>
        <v>2</v>
      </c>
      <c r="P593" s="275">
        <f t="shared" si="973"/>
        <v>3</v>
      </c>
      <c r="Q593" s="275">
        <f t="shared" si="973"/>
        <v>4</v>
      </c>
      <c r="R593" s="257">
        <f t="shared" si="883"/>
        <v>7</v>
      </c>
      <c r="S593" s="257">
        <f t="shared" ref="S593:S595" si="974">Q593+R593</f>
        <v>11</v>
      </c>
      <c r="T593" s="257">
        <f t="shared" ref="T593:T595" si="975">R593+S593</f>
        <v>18</v>
      </c>
      <c r="U593" s="257">
        <f t="shared" ref="U593:U595" si="976">S593+T593</f>
        <v>29</v>
      </c>
      <c r="V593" s="257">
        <f t="shared" ref="V593:V595" si="977">T593+U593</f>
        <v>47</v>
      </c>
      <c r="W593" s="257">
        <f t="shared" ref="W593:W595" si="978">U593+V593</f>
        <v>76</v>
      </c>
      <c r="X593" s="257">
        <f>X594</f>
        <v>0</v>
      </c>
      <c r="Y593" s="257">
        <f t="shared" ref="Y593:Z594" si="979">Y594</f>
        <v>0</v>
      </c>
      <c r="Z593" s="257">
        <f t="shared" si="979"/>
        <v>0</v>
      </c>
    </row>
    <row r="594" spans="1:26" s="431" customFormat="1" ht="21" hidden="1" customHeight="1" x14ac:dyDescent="0.2">
      <c r="A594" s="259" t="s">
        <v>452</v>
      </c>
      <c r="B594" s="271">
        <v>801</v>
      </c>
      <c r="C594" s="271" t="s">
        <v>312</v>
      </c>
      <c r="D594" s="252" t="s">
        <v>202</v>
      </c>
      <c r="E594" s="260" t="s">
        <v>867</v>
      </c>
      <c r="F594" s="252"/>
      <c r="G594" s="257"/>
      <c r="H594" s="257">
        <f>H595</f>
        <v>175.25</v>
      </c>
      <c r="I594" s="257">
        <f>I595</f>
        <v>-83.87</v>
      </c>
      <c r="J594" s="257">
        <f>H594+I594</f>
        <v>91.38</v>
      </c>
      <c r="K594" s="257">
        <f>K595</f>
        <v>0</v>
      </c>
      <c r="L594" s="257">
        <f>L595</f>
        <v>0</v>
      </c>
      <c r="M594" s="257">
        <f>M595</f>
        <v>0</v>
      </c>
      <c r="N594" s="257">
        <f t="shared" si="973"/>
        <v>1</v>
      </c>
      <c r="O594" s="257">
        <f t="shared" si="973"/>
        <v>2</v>
      </c>
      <c r="P594" s="257">
        <f t="shared" si="973"/>
        <v>3</v>
      </c>
      <c r="Q594" s="257">
        <f t="shared" si="973"/>
        <v>4</v>
      </c>
      <c r="R594" s="257">
        <f t="shared" si="883"/>
        <v>7</v>
      </c>
      <c r="S594" s="257">
        <f t="shared" si="974"/>
        <v>11</v>
      </c>
      <c r="T594" s="257">
        <f t="shared" si="975"/>
        <v>18</v>
      </c>
      <c r="U594" s="257">
        <f t="shared" si="976"/>
        <v>29</v>
      </c>
      <c r="V594" s="257">
        <f t="shared" si="977"/>
        <v>47</v>
      </c>
      <c r="W594" s="257">
        <f t="shared" si="978"/>
        <v>76</v>
      </c>
      <c r="X594" s="257">
        <f>X595</f>
        <v>0</v>
      </c>
      <c r="Y594" s="257">
        <f t="shared" si="979"/>
        <v>0</v>
      </c>
      <c r="Z594" s="257">
        <f t="shared" si="979"/>
        <v>0</v>
      </c>
    </row>
    <row r="595" spans="1:26" s="431" customFormat="1" ht="17.25" hidden="1" customHeight="1" x14ac:dyDescent="0.2">
      <c r="A595" s="259" t="s">
        <v>93</v>
      </c>
      <c r="B595" s="271">
        <v>801</v>
      </c>
      <c r="C595" s="271" t="s">
        <v>312</v>
      </c>
      <c r="D595" s="252" t="s">
        <v>202</v>
      </c>
      <c r="E595" s="260" t="s">
        <v>867</v>
      </c>
      <c r="F595" s="252" t="s">
        <v>94</v>
      </c>
      <c r="G595" s="257"/>
      <c r="H595" s="257">
        <v>175.25</v>
      </c>
      <c r="I595" s="257">
        <v>-83.87</v>
      </c>
      <c r="J595" s="257">
        <f>H595+I595</f>
        <v>91.38</v>
      </c>
      <c r="K595" s="257">
        <v>0</v>
      </c>
      <c r="L595" s="257">
        <v>0</v>
      </c>
      <c r="M595" s="257">
        <v>0</v>
      </c>
      <c r="N595" s="257">
        <v>1</v>
      </c>
      <c r="O595" s="257">
        <v>2</v>
      </c>
      <c r="P595" s="257">
        <v>3</v>
      </c>
      <c r="Q595" s="257">
        <v>4</v>
      </c>
      <c r="R595" s="257">
        <f t="shared" ref="R595:R600" si="980">P595+Q595</f>
        <v>7</v>
      </c>
      <c r="S595" s="257">
        <f t="shared" si="974"/>
        <v>11</v>
      </c>
      <c r="T595" s="257">
        <f t="shared" si="975"/>
        <v>18</v>
      </c>
      <c r="U595" s="257">
        <f t="shared" si="976"/>
        <v>29</v>
      </c>
      <c r="V595" s="257">
        <f t="shared" si="977"/>
        <v>47</v>
      </c>
      <c r="W595" s="257">
        <f t="shared" si="978"/>
        <v>76</v>
      </c>
      <c r="X595" s="257">
        <v>0</v>
      </c>
      <c r="Y595" s="257">
        <v>0</v>
      </c>
      <c r="Z595" s="257">
        <f t="shared" si="970"/>
        <v>0</v>
      </c>
    </row>
    <row r="596" spans="1:26" s="430" customFormat="1" ht="15.75" customHeight="1" x14ac:dyDescent="0.2">
      <c r="A596" s="462" t="s">
        <v>203</v>
      </c>
      <c r="B596" s="250" t="s">
        <v>146</v>
      </c>
      <c r="C596" s="250" t="s">
        <v>190</v>
      </c>
      <c r="D596" s="250" t="s">
        <v>204</v>
      </c>
      <c r="E596" s="250"/>
      <c r="F596" s="250"/>
      <c r="G596" s="275" t="e">
        <f>#REF!+G599</f>
        <v>#REF!</v>
      </c>
      <c r="H596" s="275">
        <f t="shared" ref="H596:L596" si="981">H599</f>
        <v>3000</v>
      </c>
      <c r="I596" s="275">
        <f t="shared" si="981"/>
        <v>0</v>
      </c>
      <c r="J596" s="275">
        <f t="shared" si="981"/>
        <v>3000</v>
      </c>
      <c r="K596" s="275">
        <f t="shared" si="981"/>
        <v>-887.51</v>
      </c>
      <c r="L596" s="275">
        <f t="shared" si="981"/>
        <v>2000</v>
      </c>
      <c r="M596" s="275">
        <f>M599+M597</f>
        <v>2000</v>
      </c>
      <c r="N596" s="275">
        <f t="shared" ref="N596:R596" si="982">N599+N597</f>
        <v>650</v>
      </c>
      <c r="O596" s="275">
        <f t="shared" si="982"/>
        <v>2650</v>
      </c>
      <c r="P596" s="275">
        <f t="shared" si="982"/>
        <v>2650</v>
      </c>
      <c r="Q596" s="275">
        <f t="shared" si="982"/>
        <v>0</v>
      </c>
      <c r="R596" s="275">
        <f t="shared" si="982"/>
        <v>2650</v>
      </c>
      <c r="S596" s="275">
        <f t="shared" ref="S596:T596" si="983">S599+S597</f>
        <v>-500</v>
      </c>
      <c r="T596" s="275">
        <f t="shared" si="983"/>
        <v>2650</v>
      </c>
      <c r="U596" s="275">
        <f t="shared" ref="U596:V596" si="984">U599+U597</f>
        <v>0</v>
      </c>
      <c r="V596" s="275">
        <f t="shared" si="984"/>
        <v>2650</v>
      </c>
      <c r="W596" s="275">
        <f t="shared" ref="W596:X596" si="985">W599+W597</f>
        <v>-500</v>
      </c>
      <c r="X596" s="275">
        <f t="shared" si="985"/>
        <v>2650</v>
      </c>
      <c r="Y596" s="275">
        <f t="shared" ref="Y596:Z596" si="986">Y599+Y597</f>
        <v>0</v>
      </c>
      <c r="Z596" s="275">
        <f t="shared" si="986"/>
        <v>2650</v>
      </c>
    </row>
    <row r="597" spans="1:26" ht="18.75" customHeight="1" x14ac:dyDescent="0.2">
      <c r="A597" s="259" t="s">
        <v>466</v>
      </c>
      <c r="B597" s="252" t="s">
        <v>146</v>
      </c>
      <c r="C597" s="252" t="s">
        <v>190</v>
      </c>
      <c r="D597" s="252" t="s">
        <v>204</v>
      </c>
      <c r="E597" s="252" t="s">
        <v>874</v>
      </c>
      <c r="F597" s="252"/>
      <c r="G597" s="257"/>
      <c r="H597" s="257"/>
      <c r="I597" s="257">
        <f>I598</f>
        <v>-900</v>
      </c>
      <c r="J597" s="257">
        <f>J598</f>
        <v>-900</v>
      </c>
      <c r="K597" s="257">
        <f>K598</f>
        <v>-900</v>
      </c>
      <c r="L597" s="257">
        <f>L598</f>
        <v>-900</v>
      </c>
      <c r="M597" s="257">
        <f>M598</f>
        <v>0</v>
      </c>
      <c r="N597" s="257">
        <f t="shared" ref="N597:Z597" si="987">N598</f>
        <v>650</v>
      </c>
      <c r="O597" s="257">
        <f t="shared" si="987"/>
        <v>650</v>
      </c>
      <c r="P597" s="257">
        <f t="shared" si="987"/>
        <v>650</v>
      </c>
      <c r="Q597" s="257">
        <f t="shared" si="987"/>
        <v>0</v>
      </c>
      <c r="R597" s="257">
        <f t="shared" si="987"/>
        <v>650</v>
      </c>
      <c r="S597" s="257">
        <f t="shared" si="987"/>
        <v>0</v>
      </c>
      <c r="T597" s="257">
        <f t="shared" si="987"/>
        <v>650</v>
      </c>
      <c r="U597" s="257">
        <f t="shared" si="987"/>
        <v>0</v>
      </c>
      <c r="V597" s="257">
        <f t="shared" si="987"/>
        <v>650</v>
      </c>
      <c r="W597" s="257">
        <f t="shared" si="987"/>
        <v>0</v>
      </c>
      <c r="X597" s="257">
        <f t="shared" si="987"/>
        <v>650</v>
      </c>
      <c r="Y597" s="257">
        <f t="shared" si="987"/>
        <v>0</v>
      </c>
      <c r="Z597" s="257">
        <f t="shared" si="987"/>
        <v>650</v>
      </c>
    </row>
    <row r="598" spans="1:26" x14ac:dyDescent="0.2">
      <c r="A598" s="259" t="s">
        <v>318</v>
      </c>
      <c r="B598" s="252" t="s">
        <v>146</v>
      </c>
      <c r="C598" s="252" t="s">
        <v>353</v>
      </c>
      <c r="D598" s="252" t="s">
        <v>204</v>
      </c>
      <c r="E598" s="252" t="s">
        <v>874</v>
      </c>
      <c r="F598" s="252" t="s">
        <v>319</v>
      </c>
      <c r="G598" s="257"/>
      <c r="H598" s="257"/>
      <c r="I598" s="257">
        <v>-900</v>
      </c>
      <c r="J598" s="257">
        <f>G598+I598</f>
        <v>-900</v>
      </c>
      <c r="K598" s="257">
        <v>-900</v>
      </c>
      <c r="L598" s="257">
        <f>H598+J598</f>
        <v>-900</v>
      </c>
      <c r="M598" s="257">
        <v>0</v>
      </c>
      <c r="N598" s="257">
        <v>650</v>
      </c>
      <c r="O598" s="257">
        <f>M598+N598</f>
        <v>650</v>
      </c>
      <c r="P598" s="257">
        <v>650</v>
      </c>
      <c r="Q598" s="257">
        <v>0</v>
      </c>
      <c r="R598" s="257">
        <f t="shared" si="980"/>
        <v>650</v>
      </c>
      <c r="S598" s="257">
        <v>0</v>
      </c>
      <c r="T598" s="257">
        <f t="shared" ref="T598" si="988">R598+S598</f>
        <v>650</v>
      </c>
      <c r="U598" s="257">
        <v>0</v>
      </c>
      <c r="V598" s="257">
        <v>650</v>
      </c>
      <c r="W598" s="257">
        <v>0</v>
      </c>
      <c r="X598" s="257">
        <f t="shared" ref="X598" si="989">V598+W598</f>
        <v>650</v>
      </c>
      <c r="Y598" s="257">
        <v>0</v>
      </c>
      <c r="Z598" s="257">
        <f t="shared" ref="Z598" si="990">X598+Y598</f>
        <v>650</v>
      </c>
    </row>
    <row r="599" spans="1:26" x14ac:dyDescent="0.2">
      <c r="A599" s="259" t="s">
        <v>352</v>
      </c>
      <c r="B599" s="252" t="s">
        <v>146</v>
      </c>
      <c r="C599" s="252" t="s">
        <v>353</v>
      </c>
      <c r="D599" s="252" t="s">
        <v>204</v>
      </c>
      <c r="E599" s="252" t="s">
        <v>875</v>
      </c>
      <c r="F599" s="252"/>
      <c r="G599" s="257"/>
      <c r="H599" s="257">
        <f>H600</f>
        <v>3000</v>
      </c>
      <c r="I599" s="257">
        <f>I600</f>
        <v>0</v>
      </c>
      <c r="J599" s="257">
        <f>H599+I599</f>
        <v>3000</v>
      </c>
      <c r="K599" s="257">
        <f>K600</f>
        <v>-887.51</v>
      </c>
      <c r="L599" s="257">
        <f>L600</f>
        <v>2000</v>
      </c>
      <c r="M599" s="257">
        <f>M600</f>
        <v>2000</v>
      </c>
      <c r="N599" s="257">
        <f t="shared" ref="N599:Z599" si="991">N600</f>
        <v>0</v>
      </c>
      <c r="O599" s="257">
        <f t="shared" si="991"/>
        <v>2000</v>
      </c>
      <c r="P599" s="257">
        <f t="shared" si="991"/>
        <v>2000</v>
      </c>
      <c r="Q599" s="257">
        <f t="shared" si="991"/>
        <v>0</v>
      </c>
      <c r="R599" s="257">
        <f t="shared" si="991"/>
        <v>2000</v>
      </c>
      <c r="S599" s="257">
        <f t="shared" si="991"/>
        <v>-500</v>
      </c>
      <c r="T599" s="257">
        <f t="shared" si="991"/>
        <v>2000</v>
      </c>
      <c r="U599" s="257">
        <f t="shared" si="991"/>
        <v>0</v>
      </c>
      <c r="V599" s="257">
        <f t="shared" si="991"/>
        <v>2000</v>
      </c>
      <c r="W599" s="257">
        <f t="shared" si="991"/>
        <v>-500</v>
      </c>
      <c r="X599" s="257">
        <f t="shared" si="991"/>
        <v>2000</v>
      </c>
      <c r="Y599" s="257">
        <f t="shared" si="991"/>
        <v>0</v>
      </c>
      <c r="Z599" s="257">
        <f t="shared" si="991"/>
        <v>2000</v>
      </c>
    </row>
    <row r="600" spans="1:26" x14ac:dyDescent="0.2">
      <c r="A600" s="259" t="s">
        <v>318</v>
      </c>
      <c r="B600" s="252" t="s">
        <v>146</v>
      </c>
      <c r="C600" s="252" t="s">
        <v>190</v>
      </c>
      <c r="D600" s="252" t="s">
        <v>204</v>
      </c>
      <c r="E600" s="252" t="s">
        <v>875</v>
      </c>
      <c r="F600" s="252" t="s">
        <v>319</v>
      </c>
      <c r="G600" s="257"/>
      <c r="H600" s="257">
        <v>3000</v>
      </c>
      <c r="I600" s="257">
        <v>0</v>
      </c>
      <c r="J600" s="257">
        <f>H600+I600</f>
        <v>3000</v>
      </c>
      <c r="K600" s="257">
        <v>-887.51</v>
      </c>
      <c r="L600" s="257">
        <v>2000</v>
      </c>
      <c r="M600" s="257">
        <v>2000</v>
      </c>
      <c r="N600" s="257">
        <v>0</v>
      </c>
      <c r="O600" s="257">
        <f>M600+N600</f>
        <v>2000</v>
      </c>
      <c r="P600" s="257">
        <v>2000</v>
      </c>
      <c r="Q600" s="257">
        <v>0</v>
      </c>
      <c r="R600" s="257">
        <f t="shared" si="980"/>
        <v>2000</v>
      </c>
      <c r="S600" s="257">
        <v>-500</v>
      </c>
      <c r="T600" s="257">
        <v>2000</v>
      </c>
      <c r="U600" s="257">
        <v>0</v>
      </c>
      <c r="V600" s="257">
        <v>2000</v>
      </c>
      <c r="W600" s="257">
        <v>-500</v>
      </c>
      <c r="X600" s="257">
        <v>2000</v>
      </c>
      <c r="Y600" s="257">
        <v>0</v>
      </c>
      <c r="Z600" s="257">
        <f t="shared" ref="Z600" si="992">X600+Y600</f>
        <v>2000</v>
      </c>
    </row>
    <row r="601" spans="1:26" s="430" customFormat="1" ht="14.25" x14ac:dyDescent="0.2">
      <c r="A601" s="462" t="s">
        <v>206</v>
      </c>
      <c r="B601" s="249">
        <v>801</v>
      </c>
      <c r="C601" s="250" t="s">
        <v>190</v>
      </c>
      <c r="D601" s="250" t="s">
        <v>207</v>
      </c>
      <c r="E601" s="250"/>
      <c r="F601" s="250"/>
      <c r="G601" s="261" t="e">
        <f>G602+G604+G608+#REF!+#REF!+#REF!+#REF!+G643+#REF!+#REF!+#REF!+#REF!+#REF!+G632</f>
        <v>#REF!</v>
      </c>
      <c r="H601" s="261" t="e">
        <f>#REF!+#REF!+#REF!+H632+#REF!+H643+H654+#REF!+#REF!+#REF!</f>
        <v>#REF!</v>
      </c>
      <c r="I601" s="261" t="e">
        <f>#REF!+#REF!+#REF!+I632+#REF!+I643+I654+#REF!+#REF!+#REF!</f>
        <v>#REF!</v>
      </c>
      <c r="J601" s="261" t="e">
        <f>#REF!+#REF!+#REF!+J632+#REF!+J643+J654+#REF!+#REF!+#REF!</f>
        <v>#REF!</v>
      </c>
      <c r="K601" s="261" t="e">
        <f>#REF!+#REF!+#REF!+K632+#REF!+K643+K654+#REF!+#REF!+#REF!</f>
        <v>#REF!</v>
      </c>
      <c r="L601" s="261" t="e">
        <f>#REF!+#REF!+#REF!+L632+#REF!+L643+L654+#REF!+#REF!+#REF!</f>
        <v>#REF!</v>
      </c>
      <c r="M601" s="261" t="e">
        <f>#REF!+#REF!+#REF!+M632+#REF!+M643+M654+#REF!+#REF!+#REF!</f>
        <v>#REF!</v>
      </c>
      <c r="N601" s="261" t="e">
        <f>#REF!+#REF!+#REF!+N632+#REF!+N643+N654+#REF!+#REF!+#REF!</f>
        <v>#REF!</v>
      </c>
      <c r="O601" s="261" t="e">
        <f>#REF!+#REF!+#REF!+O632+#REF!+O643+O654+#REF!+#REF!+#REF!</f>
        <v>#REF!</v>
      </c>
      <c r="P601" s="261" t="e">
        <f>#REF!+#REF!+#REF!+P632+#REF!+P643+P654+#REF!+#REF!+#REF!</f>
        <v>#REF!</v>
      </c>
      <c r="Q601" s="261" t="e">
        <f>#REF!+#REF!+#REF!+Q632+#REF!+Q643+Q654+#REF!+#REF!+#REF!</f>
        <v>#REF!</v>
      </c>
      <c r="R601" s="261">
        <f>R602+R605+R618+R621+R627+R629+R632+R642+R625+R634</f>
        <v>13687</v>
      </c>
      <c r="S601" s="261">
        <f>S602+S605+S618+S621+S627+S629+S632+S642+S625+S634</f>
        <v>12404.81</v>
      </c>
      <c r="T601" s="261">
        <f>T602+T605+T618+T621+T627+T629+T632+T642+T625+T634+T635</f>
        <v>24974.01</v>
      </c>
      <c r="U601" s="261">
        <f>U602+U605+U618+U621+U627+U629+U632+U642+U625+U634+U635</f>
        <v>-1404.989999999998</v>
      </c>
      <c r="V601" s="261">
        <f>V602+V605+V618+V621+V627+V629+V632+V642+V625+V634+V635</f>
        <v>21117.01</v>
      </c>
      <c r="W601" s="261">
        <f>W602+W605+W618+W621+W627+W629+W632+W642+W625+W634+W635</f>
        <v>2537.19</v>
      </c>
      <c r="X601" s="261">
        <f t="shared" ref="X601:Y601" si="993">X602+X605+X618+X621+X627+X629+X632+X642+X634+X635+X613</f>
        <v>22858.020000000066</v>
      </c>
      <c r="Y601" s="261">
        <f t="shared" si="993"/>
        <v>1291.3000000000002</v>
      </c>
      <c r="Z601" s="261">
        <f>Z602+Z605+Z618+Z621+Z627+Z629+Z632+Z642+Z634+Z635+Z613</f>
        <v>24149.320000000065</v>
      </c>
    </row>
    <row r="602" spans="1:26" ht="33.75" customHeight="1" x14ac:dyDescent="0.2">
      <c r="A602" s="259" t="s">
        <v>1087</v>
      </c>
      <c r="B602" s="271">
        <v>801</v>
      </c>
      <c r="C602" s="252" t="s">
        <v>190</v>
      </c>
      <c r="D602" s="252" t="s">
        <v>207</v>
      </c>
      <c r="E602" s="252" t="s">
        <v>841</v>
      </c>
      <c r="F602" s="252"/>
      <c r="G602" s="257"/>
      <c r="H602" s="257"/>
      <c r="I602" s="257"/>
      <c r="J602" s="257"/>
      <c r="K602" s="257"/>
      <c r="L602" s="257"/>
      <c r="M602" s="257"/>
      <c r="N602" s="257"/>
      <c r="O602" s="257" t="e">
        <f>#REF!+#REF!</f>
        <v>#REF!</v>
      </c>
      <c r="P602" s="257" t="e">
        <f>#REF!+#REF!</f>
        <v>#REF!</v>
      </c>
      <c r="Q602" s="257" t="e">
        <f>#REF!+#REF!</f>
        <v>#REF!</v>
      </c>
      <c r="R602" s="257">
        <f>R603+R604</f>
        <v>0</v>
      </c>
      <c r="S602" s="257">
        <f t="shared" ref="S602:T602" si="994">S603+S604</f>
        <v>20.21</v>
      </c>
      <c r="T602" s="257">
        <f t="shared" si="994"/>
        <v>20.21</v>
      </c>
      <c r="U602" s="257">
        <f t="shared" ref="U602:V602" si="995">U603+U604</f>
        <v>-0.2</v>
      </c>
      <c r="V602" s="257">
        <f t="shared" si="995"/>
        <v>0</v>
      </c>
      <c r="W602" s="257">
        <f t="shared" ref="W602:X602" si="996">W603+W604</f>
        <v>20</v>
      </c>
      <c r="X602" s="257">
        <f t="shared" si="996"/>
        <v>20</v>
      </c>
      <c r="Y602" s="257">
        <f t="shared" ref="Y602:Z602" si="997">Y603+Y604</f>
        <v>-20</v>
      </c>
      <c r="Z602" s="257">
        <f t="shared" si="997"/>
        <v>0</v>
      </c>
    </row>
    <row r="603" spans="1:26" ht="18.75" customHeight="1" x14ac:dyDescent="0.2">
      <c r="A603" s="259" t="s">
        <v>1088</v>
      </c>
      <c r="B603" s="271">
        <v>801</v>
      </c>
      <c r="C603" s="252" t="s">
        <v>190</v>
      </c>
      <c r="D603" s="252" t="s">
        <v>207</v>
      </c>
      <c r="E603" s="252" t="s">
        <v>841</v>
      </c>
      <c r="F603" s="252" t="s">
        <v>1089</v>
      </c>
      <c r="G603" s="257"/>
      <c r="H603" s="257"/>
      <c r="I603" s="257"/>
      <c r="J603" s="257"/>
      <c r="K603" s="257"/>
      <c r="L603" s="257"/>
      <c r="M603" s="257"/>
      <c r="N603" s="257"/>
      <c r="O603" s="257">
        <v>0</v>
      </c>
      <c r="P603" s="257">
        <v>20</v>
      </c>
      <c r="Q603" s="257">
        <v>0</v>
      </c>
      <c r="R603" s="257">
        <v>0</v>
      </c>
      <c r="S603" s="257">
        <v>20</v>
      </c>
      <c r="T603" s="257">
        <f>R603+S603</f>
        <v>20</v>
      </c>
      <c r="U603" s="257">
        <v>-0.2</v>
      </c>
      <c r="V603" s="257">
        <v>0</v>
      </c>
      <c r="W603" s="257">
        <v>19.8</v>
      </c>
      <c r="X603" s="257">
        <f>V603+W603</f>
        <v>19.8</v>
      </c>
      <c r="Y603" s="257">
        <v>-19.8</v>
      </c>
      <c r="Z603" s="257">
        <f>X603+Y603</f>
        <v>0</v>
      </c>
    </row>
    <row r="604" spans="1:26" ht="16.5" customHeight="1" x14ac:dyDescent="0.2">
      <c r="A604" s="259" t="s">
        <v>1090</v>
      </c>
      <c r="B604" s="271">
        <v>801</v>
      </c>
      <c r="C604" s="252" t="s">
        <v>190</v>
      </c>
      <c r="D604" s="252" t="s">
        <v>207</v>
      </c>
      <c r="E604" s="252" t="s">
        <v>841</v>
      </c>
      <c r="F604" s="252" t="s">
        <v>1089</v>
      </c>
      <c r="G604" s="257"/>
      <c r="H604" s="257"/>
      <c r="I604" s="257"/>
      <c r="J604" s="257"/>
      <c r="K604" s="257"/>
      <c r="L604" s="257"/>
      <c r="M604" s="257"/>
      <c r="N604" s="257"/>
      <c r="O604" s="257">
        <v>0</v>
      </c>
      <c r="P604" s="257">
        <v>0.21</v>
      </c>
      <c r="Q604" s="257">
        <v>0</v>
      </c>
      <c r="R604" s="257">
        <v>0</v>
      </c>
      <c r="S604" s="257">
        <v>0.21</v>
      </c>
      <c r="T604" s="257">
        <f>R604+S604</f>
        <v>0.21</v>
      </c>
      <c r="U604" s="257">
        <v>0</v>
      </c>
      <c r="V604" s="257">
        <v>0</v>
      </c>
      <c r="W604" s="257">
        <v>0.2</v>
      </c>
      <c r="X604" s="257">
        <f>V604+W604</f>
        <v>0.2</v>
      </c>
      <c r="Y604" s="257">
        <v>-0.2</v>
      </c>
      <c r="Z604" s="257">
        <f>X604+Y604</f>
        <v>0</v>
      </c>
    </row>
    <row r="605" spans="1:26" ht="22.5" customHeight="1" x14ac:dyDescent="0.2">
      <c r="A605" s="259" t="s">
        <v>809</v>
      </c>
      <c r="B605" s="271">
        <v>801</v>
      </c>
      <c r="C605" s="252" t="s">
        <v>190</v>
      </c>
      <c r="D605" s="252" t="s">
        <v>207</v>
      </c>
      <c r="E605" s="252" t="s">
        <v>870</v>
      </c>
      <c r="F605" s="252"/>
      <c r="G605" s="257"/>
      <c r="H605" s="257"/>
      <c r="I605" s="257">
        <f t="shared" ref="I605:Q605" si="998">I606</f>
        <v>-50</v>
      </c>
      <c r="J605" s="257" t="e">
        <f t="shared" si="998"/>
        <v>#REF!</v>
      </c>
      <c r="K605" s="257">
        <f t="shared" si="998"/>
        <v>-50</v>
      </c>
      <c r="L605" s="257" t="e">
        <f t="shared" si="998"/>
        <v>#REF!</v>
      </c>
      <c r="M605" s="257" t="e">
        <f t="shared" si="998"/>
        <v>#REF!</v>
      </c>
      <c r="N605" s="257" t="e">
        <f t="shared" si="998"/>
        <v>#REF!</v>
      </c>
      <c r="O605" s="257" t="e">
        <f t="shared" si="998"/>
        <v>#REF!</v>
      </c>
      <c r="P605" s="257" t="e">
        <f t="shared" si="998"/>
        <v>#REF!</v>
      </c>
      <c r="Q605" s="257" t="e">
        <f t="shared" si="998"/>
        <v>#REF!</v>
      </c>
      <c r="R605" s="257">
        <f>R606+R608+R610+R611+R612</f>
        <v>1090.8</v>
      </c>
      <c r="S605" s="257">
        <f t="shared" ref="S605:T605" si="999">S606+S608+S610+S611+S612</f>
        <v>-147.19999999999999</v>
      </c>
      <c r="T605" s="257">
        <f t="shared" si="999"/>
        <v>788.6</v>
      </c>
      <c r="U605" s="257">
        <f t="shared" ref="U605" si="1000">U606+U608+U610+U611+U612</f>
        <v>144.4</v>
      </c>
      <c r="V605" s="257">
        <f>V606+V608+V610+V611+V612+V607+V609</f>
        <v>933</v>
      </c>
      <c r="W605" s="257">
        <f t="shared" ref="W605" si="1001">W606+W608+W610+W611+W612+W607+W609</f>
        <v>54.9</v>
      </c>
      <c r="X605" s="257">
        <f>X606+X607+X608+X610</f>
        <v>1004.8</v>
      </c>
      <c r="Y605" s="257">
        <f t="shared" ref="Y605:Z605" si="1002">Y606+Y607+Y608+Y610</f>
        <v>-1004.8</v>
      </c>
      <c r="Z605" s="257">
        <f t="shared" si="1002"/>
        <v>0</v>
      </c>
    </row>
    <row r="606" spans="1:26" ht="15" customHeight="1" x14ac:dyDescent="0.2">
      <c r="A606" s="375" t="s">
        <v>907</v>
      </c>
      <c r="B606" s="271">
        <v>801</v>
      </c>
      <c r="C606" s="252" t="s">
        <v>190</v>
      </c>
      <c r="D606" s="252" t="s">
        <v>207</v>
      </c>
      <c r="E606" s="252" t="s">
        <v>870</v>
      </c>
      <c r="F606" s="382" t="s">
        <v>96</v>
      </c>
      <c r="G606" s="257"/>
      <c r="H606" s="257"/>
      <c r="I606" s="257">
        <v>-50</v>
      </c>
      <c r="J606" s="257" t="e">
        <f>#REF!+I606</f>
        <v>#REF!</v>
      </c>
      <c r="K606" s="257">
        <v>-50</v>
      </c>
      <c r="L606" s="257" t="e">
        <f>#REF!+J606</f>
        <v>#REF!</v>
      </c>
      <c r="M606" s="257" t="e">
        <f>#REF!+K606</f>
        <v>#REF!</v>
      </c>
      <c r="N606" s="257" t="e">
        <f>#REF!+L606</f>
        <v>#REF!</v>
      </c>
      <c r="O606" s="257" t="e">
        <f>#REF!+M606</f>
        <v>#REF!</v>
      </c>
      <c r="P606" s="257" t="e">
        <f>#REF!+N606</f>
        <v>#REF!</v>
      </c>
      <c r="Q606" s="257" t="e">
        <f>#REF!+O606</f>
        <v>#REF!</v>
      </c>
      <c r="R606" s="257">
        <v>718.74</v>
      </c>
      <c r="S606" s="257">
        <v>-113.04</v>
      </c>
      <c r="T606" s="257">
        <f>R606+S606</f>
        <v>605.70000000000005</v>
      </c>
      <c r="U606" s="257">
        <v>110.9</v>
      </c>
      <c r="V606" s="257">
        <v>716.6</v>
      </c>
      <c r="W606" s="257">
        <v>26.8</v>
      </c>
      <c r="X606" s="257">
        <v>743.4</v>
      </c>
      <c r="Y606" s="257">
        <v>-743.4</v>
      </c>
      <c r="Z606" s="257">
        <f>X606+Y606</f>
        <v>0</v>
      </c>
    </row>
    <row r="607" spans="1:26" ht="15" hidden="1" customHeight="1" x14ac:dyDescent="0.2">
      <c r="A607" s="375" t="s">
        <v>97</v>
      </c>
      <c r="B607" s="271">
        <v>801</v>
      </c>
      <c r="C607" s="252" t="s">
        <v>190</v>
      </c>
      <c r="D607" s="252" t="s">
        <v>207</v>
      </c>
      <c r="E607" s="252" t="s">
        <v>870</v>
      </c>
      <c r="F607" s="382" t="s">
        <v>98</v>
      </c>
      <c r="G607" s="257"/>
      <c r="H607" s="257"/>
      <c r="I607" s="257">
        <v>-50</v>
      </c>
      <c r="J607" s="257" t="e">
        <v>#REF!</v>
      </c>
      <c r="K607" s="257">
        <v>-50</v>
      </c>
      <c r="L607" s="257" t="e">
        <v>#REF!</v>
      </c>
      <c r="M607" s="257" t="e">
        <v>#REF!</v>
      </c>
      <c r="N607" s="257" t="e">
        <v>#REF!</v>
      </c>
      <c r="O607" s="257" t="e">
        <v>#REF!</v>
      </c>
      <c r="P607" s="257" t="e">
        <v>#REF!</v>
      </c>
      <c r="Q607" s="257" t="e">
        <v>#REF!</v>
      </c>
      <c r="R607" s="257">
        <v>718.74</v>
      </c>
      <c r="S607" s="257">
        <v>-113.04</v>
      </c>
      <c r="T607" s="257">
        <v>605.70000000000005</v>
      </c>
      <c r="U607" s="257">
        <v>110.9</v>
      </c>
      <c r="V607" s="257">
        <v>0</v>
      </c>
      <c r="W607" s="257">
        <v>0</v>
      </c>
      <c r="X607" s="257">
        <v>0</v>
      </c>
      <c r="Y607" s="257">
        <v>0</v>
      </c>
      <c r="Z607" s="257">
        <f t="shared" ref="Z607:Z612" si="1003">X607+Y607</f>
        <v>0</v>
      </c>
    </row>
    <row r="608" spans="1:26" ht="39.75" customHeight="1" x14ac:dyDescent="0.2">
      <c r="A608" s="375" t="s">
        <v>898</v>
      </c>
      <c r="B608" s="271">
        <v>801</v>
      </c>
      <c r="C608" s="252" t="s">
        <v>190</v>
      </c>
      <c r="D608" s="252" t="s">
        <v>207</v>
      </c>
      <c r="E608" s="252" t="s">
        <v>870</v>
      </c>
      <c r="F608" s="252" t="s">
        <v>896</v>
      </c>
      <c r="G608" s="257"/>
      <c r="H608" s="257"/>
      <c r="I608" s="257">
        <f t="shared" ref="I608:Q608" si="1004">I610</f>
        <v>-530.1</v>
      </c>
      <c r="J608" s="257" t="e">
        <f t="shared" si="1004"/>
        <v>#REF!</v>
      </c>
      <c r="K608" s="257">
        <f t="shared" si="1004"/>
        <v>-530.1</v>
      </c>
      <c r="L608" s="257" t="e">
        <f t="shared" si="1004"/>
        <v>#REF!</v>
      </c>
      <c r="M608" s="257" t="e">
        <f t="shared" si="1004"/>
        <v>#REF!</v>
      </c>
      <c r="N608" s="257" t="e">
        <f t="shared" si="1004"/>
        <v>#REF!</v>
      </c>
      <c r="O608" s="257" t="e">
        <f t="shared" si="1004"/>
        <v>#REF!</v>
      </c>
      <c r="P608" s="257" t="e">
        <f t="shared" si="1004"/>
        <v>#REF!</v>
      </c>
      <c r="Q608" s="257" t="e">
        <f t="shared" si="1004"/>
        <v>#REF!</v>
      </c>
      <c r="R608" s="257">
        <v>217.06</v>
      </c>
      <c r="S608" s="257">
        <v>-34.159999999999997</v>
      </c>
      <c r="T608" s="257">
        <f t="shared" ref="T608:T610" si="1005">R608+S608</f>
        <v>182.9</v>
      </c>
      <c r="U608" s="257">
        <v>33.5</v>
      </c>
      <c r="V608" s="257">
        <v>216.4</v>
      </c>
      <c r="W608" s="257">
        <v>8.1</v>
      </c>
      <c r="X608" s="257">
        <v>224.5</v>
      </c>
      <c r="Y608" s="257">
        <v>-224.5</v>
      </c>
      <c r="Z608" s="257">
        <f t="shared" si="1003"/>
        <v>0</v>
      </c>
    </row>
    <row r="609" spans="1:26" ht="17.25" hidden="1" customHeight="1" x14ac:dyDescent="0.2">
      <c r="A609" s="375" t="s">
        <v>99</v>
      </c>
      <c r="B609" s="271">
        <v>801</v>
      </c>
      <c r="C609" s="252" t="s">
        <v>190</v>
      </c>
      <c r="D609" s="252" t="s">
        <v>207</v>
      </c>
      <c r="E609" s="252" t="s">
        <v>870</v>
      </c>
      <c r="F609" s="252" t="s">
        <v>100</v>
      </c>
      <c r="G609" s="257"/>
      <c r="H609" s="257"/>
      <c r="I609" s="257">
        <v>-50</v>
      </c>
      <c r="J609" s="257" t="e">
        <v>#REF!</v>
      </c>
      <c r="K609" s="257">
        <v>-50</v>
      </c>
      <c r="L609" s="257" t="e">
        <v>#REF!</v>
      </c>
      <c r="M609" s="257" t="e">
        <v>#REF!</v>
      </c>
      <c r="N609" s="257" t="e">
        <v>#REF!</v>
      </c>
      <c r="O609" s="257" t="e">
        <v>#REF!</v>
      </c>
      <c r="P609" s="257" t="e">
        <v>#REF!</v>
      </c>
      <c r="Q609" s="257" t="e">
        <v>#REF!</v>
      </c>
      <c r="R609" s="257">
        <v>718.74</v>
      </c>
      <c r="S609" s="257">
        <v>-113.04</v>
      </c>
      <c r="T609" s="257">
        <v>605.70000000000005</v>
      </c>
      <c r="U609" s="257">
        <v>110.9</v>
      </c>
      <c r="V609" s="257">
        <v>0</v>
      </c>
      <c r="W609" s="257">
        <v>0</v>
      </c>
      <c r="X609" s="257">
        <v>36.9</v>
      </c>
      <c r="Y609" s="257">
        <v>36.9</v>
      </c>
      <c r="Z609" s="257">
        <f t="shared" si="1003"/>
        <v>73.8</v>
      </c>
    </row>
    <row r="610" spans="1:26" ht="17.25" customHeight="1" x14ac:dyDescent="0.2">
      <c r="A610" s="259" t="s">
        <v>93</v>
      </c>
      <c r="B610" s="271">
        <v>801</v>
      </c>
      <c r="C610" s="252" t="s">
        <v>190</v>
      </c>
      <c r="D610" s="252" t="s">
        <v>207</v>
      </c>
      <c r="E610" s="252" t="s">
        <v>870</v>
      </c>
      <c r="F610" s="252" t="s">
        <v>94</v>
      </c>
      <c r="G610" s="257"/>
      <c r="H610" s="257"/>
      <c r="I610" s="257">
        <f t="shared" ref="I610:Q610" si="1006">I618</f>
        <v>-530.1</v>
      </c>
      <c r="J610" s="257" t="e">
        <f t="shared" si="1006"/>
        <v>#REF!</v>
      </c>
      <c r="K610" s="257">
        <f t="shared" si="1006"/>
        <v>-530.1</v>
      </c>
      <c r="L610" s="257" t="e">
        <f t="shared" si="1006"/>
        <v>#REF!</v>
      </c>
      <c r="M610" s="257" t="e">
        <f t="shared" si="1006"/>
        <v>#REF!</v>
      </c>
      <c r="N610" s="257" t="e">
        <f t="shared" si="1006"/>
        <v>#REF!</v>
      </c>
      <c r="O610" s="257" t="e">
        <f t="shared" si="1006"/>
        <v>#REF!</v>
      </c>
      <c r="P610" s="257" t="e">
        <f t="shared" si="1006"/>
        <v>#REF!</v>
      </c>
      <c r="Q610" s="257" t="e">
        <f t="shared" si="1006"/>
        <v>#REF!</v>
      </c>
      <c r="R610" s="257">
        <v>0</v>
      </c>
      <c r="S610" s="257">
        <v>0</v>
      </c>
      <c r="T610" s="257">
        <f t="shared" si="1005"/>
        <v>0</v>
      </c>
      <c r="U610" s="257">
        <v>0</v>
      </c>
      <c r="V610" s="257">
        <f t="shared" ref="V610" si="1007">T610+U610</f>
        <v>0</v>
      </c>
      <c r="W610" s="257">
        <v>20</v>
      </c>
      <c r="X610" s="257">
        <v>36.9</v>
      </c>
      <c r="Y610" s="257">
        <v>-36.9</v>
      </c>
      <c r="Z610" s="257">
        <f t="shared" si="1003"/>
        <v>0</v>
      </c>
    </row>
    <row r="611" spans="1:26" ht="28.5" hidden="1" customHeight="1" x14ac:dyDescent="0.2">
      <c r="A611" s="375" t="s">
        <v>907</v>
      </c>
      <c r="B611" s="271">
        <v>801</v>
      </c>
      <c r="C611" s="252" t="s">
        <v>190</v>
      </c>
      <c r="D611" s="252" t="s">
        <v>207</v>
      </c>
      <c r="E611" s="252" t="s">
        <v>872</v>
      </c>
      <c r="F611" s="252" t="s">
        <v>96</v>
      </c>
      <c r="G611" s="257"/>
      <c r="H611" s="257">
        <v>122.9</v>
      </c>
      <c r="I611" s="257">
        <v>-122.9</v>
      </c>
      <c r="J611" s="257">
        <f t="shared" ref="J611:J612" si="1008">H611+I611</f>
        <v>0</v>
      </c>
      <c r="K611" s="257">
        <v>0</v>
      </c>
      <c r="L611" s="257">
        <f>I611+J611</f>
        <v>-122.9</v>
      </c>
      <c r="M611" s="257">
        <v>0</v>
      </c>
      <c r="N611" s="257">
        <v>106.4</v>
      </c>
      <c r="O611" s="257">
        <f>M611+N611</f>
        <v>106.4</v>
      </c>
      <c r="P611" s="257">
        <f t="shared" ref="P611" si="1009">M611+N611</f>
        <v>106.4</v>
      </c>
      <c r="Q611" s="257">
        <v>0</v>
      </c>
      <c r="R611" s="257">
        <v>106.4</v>
      </c>
      <c r="S611" s="257">
        <v>0</v>
      </c>
      <c r="T611" s="257">
        <v>0</v>
      </c>
      <c r="U611" s="257">
        <v>0</v>
      </c>
      <c r="V611" s="257">
        <v>0</v>
      </c>
      <c r="W611" s="257">
        <v>0</v>
      </c>
      <c r="X611" s="257">
        <f t="shared" ref="X611:X612" si="1010">V611+W611</f>
        <v>0</v>
      </c>
      <c r="Y611" s="257">
        <v>0</v>
      </c>
      <c r="Z611" s="257">
        <f t="shared" si="1003"/>
        <v>0</v>
      </c>
    </row>
    <row r="612" spans="1:26" ht="28.5" hidden="1" customHeight="1" x14ac:dyDescent="0.2">
      <c r="A612" s="375" t="s">
        <v>898</v>
      </c>
      <c r="B612" s="271">
        <v>801</v>
      </c>
      <c r="C612" s="252" t="s">
        <v>190</v>
      </c>
      <c r="D612" s="252" t="s">
        <v>207</v>
      </c>
      <c r="E612" s="252" t="s">
        <v>872</v>
      </c>
      <c r="F612" s="252" t="s">
        <v>896</v>
      </c>
      <c r="G612" s="257"/>
      <c r="H612" s="257">
        <v>0</v>
      </c>
      <c r="I612" s="257">
        <v>122.9</v>
      </c>
      <c r="J612" s="257">
        <f t="shared" si="1008"/>
        <v>122.9</v>
      </c>
      <c r="K612" s="257">
        <v>0</v>
      </c>
      <c r="L612" s="257">
        <v>217.9</v>
      </c>
      <c r="M612" s="257">
        <v>217.9</v>
      </c>
      <c r="N612" s="257">
        <v>-169.3</v>
      </c>
      <c r="O612" s="257">
        <f>M612+N612</f>
        <v>48.599999999999994</v>
      </c>
      <c r="P612" s="257">
        <v>48.6</v>
      </c>
      <c r="Q612" s="257">
        <v>0</v>
      </c>
      <c r="R612" s="257">
        <v>48.6</v>
      </c>
      <c r="S612" s="257">
        <v>0</v>
      </c>
      <c r="T612" s="257">
        <v>0</v>
      </c>
      <c r="U612" s="257">
        <v>0</v>
      </c>
      <c r="V612" s="257">
        <v>0</v>
      </c>
      <c r="W612" s="257">
        <v>0</v>
      </c>
      <c r="X612" s="257">
        <f t="shared" si="1010"/>
        <v>0</v>
      </c>
      <c r="Y612" s="257">
        <v>0</v>
      </c>
      <c r="Z612" s="257">
        <f t="shared" si="1003"/>
        <v>0</v>
      </c>
    </row>
    <row r="613" spans="1:26" ht="42" customHeight="1" x14ac:dyDescent="0.2">
      <c r="A613" s="259" t="s">
        <v>1278</v>
      </c>
      <c r="B613" s="271">
        <v>801</v>
      </c>
      <c r="C613" s="252" t="s">
        <v>190</v>
      </c>
      <c r="D613" s="252" t="s">
        <v>207</v>
      </c>
      <c r="E613" s="252" t="s">
        <v>1279</v>
      </c>
      <c r="F613" s="252"/>
      <c r="G613" s="257"/>
      <c r="H613" s="257"/>
      <c r="I613" s="257">
        <f t="shared" ref="I613:Q613" si="1011">I614</f>
        <v>-50</v>
      </c>
      <c r="J613" s="257" t="e">
        <f t="shared" si="1011"/>
        <v>#REF!</v>
      </c>
      <c r="K613" s="257">
        <f t="shared" si="1011"/>
        <v>-50</v>
      </c>
      <c r="L613" s="257" t="e">
        <f t="shared" si="1011"/>
        <v>#REF!</v>
      </c>
      <c r="M613" s="257" t="e">
        <f t="shared" si="1011"/>
        <v>#REF!</v>
      </c>
      <c r="N613" s="257" t="e">
        <f t="shared" si="1011"/>
        <v>#REF!</v>
      </c>
      <c r="O613" s="257" t="e">
        <f t="shared" si="1011"/>
        <v>#REF!</v>
      </c>
      <c r="P613" s="257" t="e">
        <f t="shared" si="1011"/>
        <v>#REF!</v>
      </c>
      <c r="Q613" s="257" t="e">
        <f t="shared" si="1011"/>
        <v>#REF!</v>
      </c>
      <c r="R613" s="257">
        <f>R614+R616+R617+R618+R619</f>
        <v>1062.0999999999999</v>
      </c>
      <c r="S613" s="257">
        <f>S614+S616+S617+S618+S619</f>
        <v>-145.99999999999997</v>
      </c>
      <c r="T613" s="257">
        <f>T614+T616+T617+T618+T619</f>
        <v>916.1</v>
      </c>
      <c r="U613" s="257">
        <f>U614+U616+U617+U618+U619</f>
        <v>145.30000000000001</v>
      </c>
      <c r="V613" s="257" t="e">
        <f>V614+V616+V617+V618+V619+V615+#REF!</f>
        <v>#REF!</v>
      </c>
      <c r="W613" s="257" t="e">
        <f>W614+W616+W617+W618+W619+W615+#REF!</f>
        <v>#REF!</v>
      </c>
      <c r="X613" s="257">
        <f>X614+X615+X616+X617</f>
        <v>0</v>
      </c>
      <c r="Y613" s="257">
        <f>Y614+Y615+Y616+Y617</f>
        <v>1040.7</v>
      </c>
      <c r="Z613" s="257">
        <f>Z614+Z615+Z616+Z617</f>
        <v>1040.7</v>
      </c>
    </row>
    <row r="614" spans="1:26" ht="19.5" customHeight="1" x14ac:dyDescent="0.2">
      <c r="A614" s="375" t="s">
        <v>907</v>
      </c>
      <c r="B614" s="271">
        <v>801</v>
      </c>
      <c r="C614" s="252" t="s">
        <v>190</v>
      </c>
      <c r="D614" s="252" t="s">
        <v>207</v>
      </c>
      <c r="E614" s="252" t="s">
        <v>1279</v>
      </c>
      <c r="F614" s="382" t="s">
        <v>96</v>
      </c>
      <c r="G614" s="257"/>
      <c r="H614" s="257"/>
      <c r="I614" s="257">
        <v>-50</v>
      </c>
      <c r="J614" s="257" t="e">
        <f>#REF!+I614</f>
        <v>#REF!</v>
      </c>
      <c r="K614" s="257">
        <v>-50</v>
      </c>
      <c r="L614" s="257" t="e">
        <f>#REF!+J614</f>
        <v>#REF!</v>
      </c>
      <c r="M614" s="257" t="e">
        <f>#REF!+K614</f>
        <v>#REF!</v>
      </c>
      <c r="N614" s="257" t="e">
        <f>#REF!+L614</f>
        <v>#REF!</v>
      </c>
      <c r="O614" s="257" t="e">
        <f>#REF!+M614</f>
        <v>#REF!</v>
      </c>
      <c r="P614" s="257" t="e">
        <f>#REF!+N614</f>
        <v>#REF!</v>
      </c>
      <c r="Q614" s="257" t="e">
        <f>#REF!+O614</f>
        <v>#REF!</v>
      </c>
      <c r="R614" s="257">
        <v>718.74</v>
      </c>
      <c r="S614" s="257">
        <v>-113.04</v>
      </c>
      <c r="T614" s="257">
        <f>R614+S614</f>
        <v>605.70000000000005</v>
      </c>
      <c r="U614" s="257">
        <v>110.9</v>
      </c>
      <c r="V614" s="257">
        <v>716.6</v>
      </c>
      <c r="W614" s="257">
        <v>26.8</v>
      </c>
      <c r="X614" s="257">
        <v>0</v>
      </c>
      <c r="Y614" s="257">
        <v>789.5</v>
      </c>
      <c r="Z614" s="257">
        <f>X614+Y614</f>
        <v>789.5</v>
      </c>
    </row>
    <row r="615" spans="1:26" ht="19.5" hidden="1" customHeight="1" x14ac:dyDescent="0.2">
      <c r="A615" s="375" t="s">
        <v>97</v>
      </c>
      <c r="B615" s="271">
        <v>801</v>
      </c>
      <c r="C615" s="252" t="s">
        <v>190</v>
      </c>
      <c r="D615" s="252" t="s">
        <v>207</v>
      </c>
      <c r="E615" s="252" t="s">
        <v>1279</v>
      </c>
      <c r="F615" s="382" t="s">
        <v>98</v>
      </c>
      <c r="G615" s="257"/>
      <c r="H615" s="257"/>
      <c r="I615" s="257">
        <v>-50</v>
      </c>
      <c r="J615" s="257" t="e">
        <v>#REF!</v>
      </c>
      <c r="K615" s="257">
        <v>-50</v>
      </c>
      <c r="L615" s="257" t="e">
        <v>#REF!</v>
      </c>
      <c r="M615" s="257" t="e">
        <v>#REF!</v>
      </c>
      <c r="N615" s="257" t="e">
        <v>#REF!</v>
      </c>
      <c r="O615" s="257" t="e">
        <v>#REF!</v>
      </c>
      <c r="P615" s="257" t="e">
        <v>#REF!</v>
      </c>
      <c r="Q615" s="257" t="e">
        <v>#REF!</v>
      </c>
      <c r="R615" s="257">
        <v>718.74</v>
      </c>
      <c r="S615" s="257">
        <v>-113.04</v>
      </c>
      <c r="T615" s="257">
        <v>605.70000000000005</v>
      </c>
      <c r="U615" s="257">
        <v>110.9</v>
      </c>
      <c r="V615" s="257">
        <v>0</v>
      </c>
      <c r="W615" s="257">
        <v>0</v>
      </c>
      <c r="X615" s="257">
        <v>0</v>
      </c>
      <c r="Y615" s="257">
        <v>0</v>
      </c>
      <c r="Z615" s="257">
        <f t="shared" ref="Z615:Z617" si="1012">X615+Y615</f>
        <v>0</v>
      </c>
    </row>
    <row r="616" spans="1:26" ht="28.5" customHeight="1" x14ac:dyDescent="0.2">
      <c r="A616" s="375" t="s">
        <v>898</v>
      </c>
      <c r="B616" s="271">
        <v>801</v>
      </c>
      <c r="C616" s="252" t="s">
        <v>190</v>
      </c>
      <c r="D616" s="252" t="s">
        <v>207</v>
      </c>
      <c r="E616" s="252" t="s">
        <v>1279</v>
      </c>
      <c r="F616" s="252" t="s">
        <v>896</v>
      </c>
      <c r="G616" s="257"/>
      <c r="H616" s="257"/>
      <c r="I616" s="257" t="e">
        <f t="shared" ref="I616:Q616" si="1013">I617</f>
        <v>#REF!</v>
      </c>
      <c r="J616" s="257" t="e">
        <f t="shared" si="1013"/>
        <v>#REF!</v>
      </c>
      <c r="K616" s="257" t="e">
        <f t="shared" si="1013"/>
        <v>#REF!</v>
      </c>
      <c r="L616" s="257" t="e">
        <f t="shared" si="1013"/>
        <v>#REF!</v>
      </c>
      <c r="M616" s="257" t="e">
        <f t="shared" si="1013"/>
        <v>#REF!</v>
      </c>
      <c r="N616" s="257" t="e">
        <f t="shared" si="1013"/>
        <v>#REF!</v>
      </c>
      <c r="O616" s="257" t="e">
        <f t="shared" si="1013"/>
        <v>#REF!</v>
      </c>
      <c r="P616" s="257" t="e">
        <f t="shared" si="1013"/>
        <v>#REF!</v>
      </c>
      <c r="Q616" s="257" t="e">
        <f t="shared" si="1013"/>
        <v>#REF!</v>
      </c>
      <c r="R616" s="257">
        <v>217.06</v>
      </c>
      <c r="S616" s="257">
        <v>-34.159999999999997</v>
      </c>
      <c r="T616" s="257">
        <f t="shared" ref="T616" si="1014">R616+S616</f>
        <v>182.9</v>
      </c>
      <c r="U616" s="257">
        <v>33.5</v>
      </c>
      <c r="V616" s="257">
        <v>216.4</v>
      </c>
      <c r="W616" s="257">
        <v>8.1</v>
      </c>
      <c r="X616" s="257">
        <v>0</v>
      </c>
      <c r="Y616" s="257">
        <v>238.4</v>
      </c>
      <c r="Z616" s="257">
        <f t="shared" si="1012"/>
        <v>238.4</v>
      </c>
    </row>
    <row r="617" spans="1:26" ht="17.25" customHeight="1" x14ac:dyDescent="0.2">
      <c r="A617" s="259" t="s">
        <v>93</v>
      </c>
      <c r="B617" s="271">
        <v>801</v>
      </c>
      <c r="C617" s="252" t="s">
        <v>190</v>
      </c>
      <c r="D617" s="252" t="s">
        <v>207</v>
      </c>
      <c r="E617" s="252" t="s">
        <v>1279</v>
      </c>
      <c r="F617" s="252" t="s">
        <v>94</v>
      </c>
      <c r="G617" s="257"/>
      <c r="H617" s="257"/>
      <c r="I617" s="257" t="e">
        <f>#REF!</f>
        <v>#REF!</v>
      </c>
      <c r="J617" s="257" t="e">
        <f>#REF!</f>
        <v>#REF!</v>
      </c>
      <c r="K617" s="257" t="e">
        <f>#REF!</f>
        <v>#REF!</v>
      </c>
      <c r="L617" s="257" t="e">
        <f>#REF!</f>
        <v>#REF!</v>
      </c>
      <c r="M617" s="257" t="e">
        <f>#REF!</f>
        <v>#REF!</v>
      </c>
      <c r="N617" s="257" t="e">
        <f>#REF!</f>
        <v>#REF!</v>
      </c>
      <c r="O617" s="257" t="e">
        <f>#REF!</f>
        <v>#REF!</v>
      </c>
      <c r="P617" s="257" t="e">
        <f>#REF!</f>
        <v>#REF!</v>
      </c>
      <c r="Q617" s="257" t="e">
        <f>#REF!</f>
        <v>#REF!</v>
      </c>
      <c r="R617" s="257">
        <v>0</v>
      </c>
      <c r="S617" s="257">
        <v>0</v>
      </c>
      <c r="T617" s="257">
        <f t="shared" ref="T617" si="1015">R617+S617</f>
        <v>0</v>
      </c>
      <c r="U617" s="257">
        <v>0</v>
      </c>
      <c r="V617" s="257">
        <f t="shared" ref="V617" si="1016">T617+U617</f>
        <v>0</v>
      </c>
      <c r="W617" s="257">
        <v>20</v>
      </c>
      <c r="X617" s="257">
        <v>0</v>
      </c>
      <c r="Y617" s="257">
        <v>12.8</v>
      </c>
      <c r="Z617" s="257">
        <f t="shared" si="1012"/>
        <v>12.8</v>
      </c>
    </row>
    <row r="618" spans="1:26" ht="27" customHeight="1" x14ac:dyDescent="0.2">
      <c r="A618" s="259" t="s">
        <v>1091</v>
      </c>
      <c r="B618" s="271">
        <v>801</v>
      </c>
      <c r="C618" s="252" t="s">
        <v>190</v>
      </c>
      <c r="D618" s="252" t="s">
        <v>207</v>
      </c>
      <c r="E618" s="252" t="s">
        <v>1283</v>
      </c>
      <c r="F618" s="252"/>
      <c r="G618" s="257"/>
      <c r="H618" s="257"/>
      <c r="I618" s="257">
        <v>-530.1</v>
      </c>
      <c r="J618" s="257" t="e">
        <f>#REF!+I618</f>
        <v>#REF!</v>
      </c>
      <c r="K618" s="257">
        <v>-530.1</v>
      </c>
      <c r="L618" s="257" t="e">
        <f>#REF!+J618</f>
        <v>#REF!</v>
      </c>
      <c r="M618" s="257" t="e">
        <f>#REF!+K618</f>
        <v>#REF!</v>
      </c>
      <c r="N618" s="257" t="e">
        <f>#REF!+L618</f>
        <v>#REF!</v>
      </c>
      <c r="O618" s="257" t="e">
        <f>#REF!+M618</f>
        <v>#REF!</v>
      </c>
      <c r="P618" s="257" t="e">
        <f>#REF!+N618</f>
        <v>#REF!</v>
      </c>
      <c r="Q618" s="257" t="e">
        <f>#REF!+O618</f>
        <v>#REF!</v>
      </c>
      <c r="R618" s="257">
        <f t="shared" ref="R618:W618" si="1017">R619+R620</f>
        <v>84.199999999999989</v>
      </c>
      <c r="S618" s="257">
        <f t="shared" si="1017"/>
        <v>0.8</v>
      </c>
      <c r="T618" s="257">
        <f t="shared" si="1017"/>
        <v>84.999999999999986</v>
      </c>
      <c r="U618" s="257">
        <f t="shared" si="1017"/>
        <v>0.6</v>
      </c>
      <c r="V618" s="257">
        <f t="shared" si="1017"/>
        <v>85.6</v>
      </c>
      <c r="W618" s="257">
        <f t="shared" si="1017"/>
        <v>42</v>
      </c>
      <c r="X618" s="257">
        <f>X619+X620</f>
        <v>90.4</v>
      </c>
      <c r="Y618" s="257">
        <f t="shared" ref="Y618:Z618" si="1018">Y619+Y620</f>
        <v>12.5</v>
      </c>
      <c r="Z618" s="257">
        <f t="shared" si="1018"/>
        <v>102.9</v>
      </c>
    </row>
    <row r="619" spans="1:26" ht="20.25" customHeight="1" x14ac:dyDescent="0.2">
      <c r="A619" s="259" t="s">
        <v>93</v>
      </c>
      <c r="B619" s="271">
        <v>801</v>
      </c>
      <c r="C619" s="252" t="s">
        <v>190</v>
      </c>
      <c r="D619" s="252" t="s">
        <v>207</v>
      </c>
      <c r="E619" s="252" t="s">
        <v>807</v>
      </c>
      <c r="F619" s="252" t="s">
        <v>94</v>
      </c>
      <c r="G619" s="257"/>
      <c r="H619" s="257"/>
      <c r="I619" s="257">
        <f>I622</f>
        <v>0</v>
      </c>
      <c r="J619" s="257" t="e">
        <f>J620+J621+J622+#REF!+J627+J628+J629+J630+#REF!</f>
        <v>#REF!</v>
      </c>
      <c r="K619" s="257">
        <f>K622</f>
        <v>0</v>
      </c>
      <c r="L619" s="257" t="e">
        <f>L620+L621+L622+#REF!+L627+L628+L629+L630+#REF!</f>
        <v>#REF!</v>
      </c>
      <c r="M619" s="257" t="e">
        <f>M620+M621+M622+#REF!+M627+M628+M629+M630+#REF!</f>
        <v>#REF!</v>
      </c>
      <c r="N619" s="257" t="e">
        <f>N620+N621+N622+#REF!+N627+N628+N629+N630+#REF!</f>
        <v>#REF!</v>
      </c>
      <c r="O619" s="257" t="e">
        <f>O620+O621+O622+#REF!+O627+O628+O629+O630+#REF!</f>
        <v>#REF!</v>
      </c>
      <c r="P619" s="257" t="e">
        <f>P620+P621+P622+#REF!+P627+P628+P629+P630+#REF!</f>
        <v>#REF!</v>
      </c>
      <c r="Q619" s="257" t="e">
        <f>Q620+Q621+Q622+#REF!+Q627+Q628+Q629+Q630+#REF!</f>
        <v>#REF!</v>
      </c>
      <c r="R619" s="257">
        <v>42.099999999999994</v>
      </c>
      <c r="S619" s="257">
        <v>0.4</v>
      </c>
      <c r="T619" s="257">
        <f>R619+S619</f>
        <v>42.499999999999993</v>
      </c>
      <c r="U619" s="257">
        <v>0.3</v>
      </c>
      <c r="V619" s="257">
        <v>42.8</v>
      </c>
      <c r="W619" s="257">
        <v>21</v>
      </c>
      <c r="X619" s="257">
        <v>90.4</v>
      </c>
      <c r="Y619" s="257">
        <v>-90.4</v>
      </c>
      <c r="Z619" s="257">
        <f>X619+Y619</f>
        <v>0</v>
      </c>
    </row>
    <row r="620" spans="1:26" x14ac:dyDescent="0.2">
      <c r="A620" s="259" t="s">
        <v>93</v>
      </c>
      <c r="B620" s="271">
        <v>801</v>
      </c>
      <c r="C620" s="252" t="s">
        <v>190</v>
      </c>
      <c r="D620" s="252" t="s">
        <v>207</v>
      </c>
      <c r="E620" s="252" t="s">
        <v>1283</v>
      </c>
      <c r="F620" s="252" t="s">
        <v>94</v>
      </c>
      <c r="G620" s="257"/>
      <c r="H620" s="257"/>
      <c r="I620" s="257">
        <f>I623</f>
        <v>-7046.4</v>
      </c>
      <c r="J620" s="257" t="e">
        <f>J621+J622+J623+J627+J628+J629+J630+J631+#REF!</f>
        <v>#REF!</v>
      </c>
      <c r="K620" s="257">
        <f>K623</f>
        <v>-7046.4</v>
      </c>
      <c r="L620" s="257" t="e">
        <f>L621+L622+L623+L627+L628+L629+L630+L631+#REF!</f>
        <v>#REF!</v>
      </c>
      <c r="M620" s="257" t="e">
        <f>M621+M622+M623+M627+M628+M629+M630+M631+#REF!</f>
        <v>#REF!</v>
      </c>
      <c r="N620" s="257" t="e">
        <f>N621+N622+N623+N627+N628+N629+N630+N631+#REF!</f>
        <v>#REF!</v>
      </c>
      <c r="O620" s="257" t="e">
        <f>O621+O622+O623+O627+O628+O629+O630+O631+#REF!</f>
        <v>#REF!</v>
      </c>
      <c r="P620" s="257" t="e">
        <f>P621+P622+P623+P627+P628+P629+P630+P631+#REF!</f>
        <v>#REF!</v>
      </c>
      <c r="Q620" s="257" t="e">
        <f>Q621+Q622+Q623+Q627+Q628+Q629+Q630+Q631+#REF!</f>
        <v>#REF!</v>
      </c>
      <c r="R620" s="257">
        <v>42.099999999999994</v>
      </c>
      <c r="S620" s="257">
        <v>0.4</v>
      </c>
      <c r="T620" s="257">
        <f>R620+S620</f>
        <v>42.499999999999993</v>
      </c>
      <c r="U620" s="257">
        <v>0.3</v>
      </c>
      <c r="V620" s="257">
        <v>42.8</v>
      </c>
      <c r="W620" s="257">
        <v>21</v>
      </c>
      <c r="X620" s="257">
        <v>0</v>
      </c>
      <c r="Y620" s="257">
        <v>102.9</v>
      </c>
      <c r="Z620" s="257">
        <f>X620+Y620</f>
        <v>102.9</v>
      </c>
    </row>
    <row r="621" spans="1:26" ht="51" customHeight="1" x14ac:dyDescent="0.2">
      <c r="A621" s="259" t="s">
        <v>1092</v>
      </c>
      <c r="B621" s="271">
        <v>801</v>
      </c>
      <c r="C621" s="252" t="s">
        <v>190</v>
      </c>
      <c r="D621" s="252" t="s">
        <v>207</v>
      </c>
      <c r="E621" s="252" t="s">
        <v>1284</v>
      </c>
      <c r="F621" s="252"/>
      <c r="G621" s="257"/>
      <c r="H621" s="257"/>
      <c r="I621" s="257"/>
      <c r="J621" s="257">
        <f t="shared" ref="J621:J626" si="1019">G621+I621</f>
        <v>0</v>
      </c>
      <c r="K621" s="257"/>
      <c r="L621" s="257">
        <f t="shared" ref="L621:Q623" si="1020">H621+J621</f>
        <v>0</v>
      </c>
      <c r="M621" s="257">
        <f t="shared" si="1020"/>
        <v>0</v>
      </c>
      <c r="N621" s="257">
        <f t="shared" si="1020"/>
        <v>0</v>
      </c>
      <c r="O621" s="257">
        <f t="shared" si="1020"/>
        <v>0</v>
      </c>
      <c r="P621" s="257">
        <f t="shared" si="1020"/>
        <v>0</v>
      </c>
      <c r="Q621" s="257">
        <f t="shared" si="1020"/>
        <v>0</v>
      </c>
      <c r="R621" s="257">
        <f>R623+R622</f>
        <v>221</v>
      </c>
      <c r="S621" s="257">
        <f t="shared" ref="S621:T621" si="1021">S623+S622</f>
        <v>29.2</v>
      </c>
      <c r="T621" s="257">
        <f t="shared" si="1021"/>
        <v>250.2</v>
      </c>
      <c r="U621" s="257">
        <f t="shared" ref="U621:V621" si="1022">U623+U622</f>
        <v>-9.6</v>
      </c>
      <c r="V621" s="257">
        <f t="shared" si="1022"/>
        <v>240.6</v>
      </c>
      <c r="W621" s="257">
        <f t="shared" ref="W621" si="1023">W623+W622</f>
        <v>40</v>
      </c>
      <c r="X621" s="257">
        <f>X622+X623+X624+X625+X626</f>
        <v>334</v>
      </c>
      <c r="Y621" s="257">
        <f t="shared" ref="Y621:Z621" si="1024">Y622+Y623+Y624+Y625+Y626</f>
        <v>62.899999999999977</v>
      </c>
      <c r="Z621" s="257">
        <f t="shared" si="1024"/>
        <v>396.9</v>
      </c>
    </row>
    <row r="622" spans="1:26" ht="12.75" customHeight="1" x14ac:dyDescent="0.2">
      <c r="A622" s="259" t="s">
        <v>907</v>
      </c>
      <c r="B622" s="271">
        <v>801</v>
      </c>
      <c r="C622" s="252" t="s">
        <v>190</v>
      </c>
      <c r="D622" s="252" t="s">
        <v>207</v>
      </c>
      <c r="E622" s="252" t="s">
        <v>805</v>
      </c>
      <c r="F622" s="252" t="s">
        <v>96</v>
      </c>
      <c r="G622" s="257"/>
      <c r="H622" s="257"/>
      <c r="I622" s="257"/>
      <c r="J622" s="257">
        <f t="shared" si="1019"/>
        <v>0</v>
      </c>
      <c r="K622" s="257"/>
      <c r="L622" s="257">
        <f t="shared" si="1020"/>
        <v>0</v>
      </c>
      <c r="M622" s="257">
        <f t="shared" si="1020"/>
        <v>0</v>
      </c>
      <c r="N622" s="257">
        <f t="shared" si="1020"/>
        <v>0</v>
      </c>
      <c r="O622" s="257">
        <f t="shared" si="1020"/>
        <v>0</v>
      </c>
      <c r="P622" s="257">
        <f t="shared" si="1020"/>
        <v>0</v>
      </c>
      <c r="Q622" s="257">
        <f t="shared" si="1020"/>
        <v>0</v>
      </c>
      <c r="R622" s="257">
        <v>170</v>
      </c>
      <c r="S622" s="257">
        <v>22.2</v>
      </c>
      <c r="T622" s="257">
        <f>R622+S622</f>
        <v>192.2</v>
      </c>
      <c r="U622" s="257">
        <v>-7.41</v>
      </c>
      <c r="V622" s="257">
        <v>184.79</v>
      </c>
      <c r="W622" s="257">
        <v>30.71</v>
      </c>
      <c r="X622" s="257">
        <v>256.54000000000002</v>
      </c>
      <c r="Y622" s="257">
        <v>-256.54000000000002</v>
      </c>
      <c r="Z622" s="257">
        <f>X622+Y622</f>
        <v>0</v>
      </c>
    </row>
    <row r="623" spans="1:26" ht="30" x14ac:dyDescent="0.2">
      <c r="A623" s="375" t="s">
        <v>898</v>
      </c>
      <c r="B623" s="271">
        <v>801</v>
      </c>
      <c r="C623" s="252" t="s">
        <v>190</v>
      </c>
      <c r="D623" s="252" t="s">
        <v>207</v>
      </c>
      <c r="E623" s="252" t="s">
        <v>805</v>
      </c>
      <c r="F623" s="252" t="s">
        <v>896</v>
      </c>
      <c r="G623" s="257"/>
      <c r="H623" s="257"/>
      <c r="I623" s="257">
        <v>-7046.4</v>
      </c>
      <c r="J623" s="257">
        <f t="shared" si="1019"/>
        <v>-7046.4</v>
      </c>
      <c r="K623" s="257">
        <v>-7046.4</v>
      </c>
      <c r="L623" s="257">
        <f t="shared" si="1020"/>
        <v>-7046.4</v>
      </c>
      <c r="M623" s="257">
        <f t="shared" si="1020"/>
        <v>-14092.8</v>
      </c>
      <c r="N623" s="257">
        <f t="shared" si="1020"/>
        <v>-14092.8</v>
      </c>
      <c r="O623" s="257">
        <f t="shared" si="1020"/>
        <v>-21139.199999999997</v>
      </c>
      <c r="P623" s="257">
        <f t="shared" si="1020"/>
        <v>-21139.199999999997</v>
      </c>
      <c r="Q623" s="257">
        <f t="shared" si="1020"/>
        <v>-35232</v>
      </c>
      <c r="R623" s="257">
        <v>51</v>
      </c>
      <c r="S623" s="257">
        <v>7</v>
      </c>
      <c r="T623" s="257">
        <f>R623+S623</f>
        <v>58</v>
      </c>
      <c r="U623" s="257">
        <v>-2.19</v>
      </c>
      <c r="V623" s="257">
        <v>55.81</v>
      </c>
      <c r="W623" s="257">
        <v>9.2899999999999991</v>
      </c>
      <c r="X623" s="257">
        <v>77.459999999999994</v>
      </c>
      <c r="Y623" s="257">
        <v>-77.459999999999994</v>
      </c>
      <c r="Z623" s="257">
        <f>X623+Y623</f>
        <v>0</v>
      </c>
    </row>
    <row r="624" spans="1:26" x14ac:dyDescent="0.2">
      <c r="A624" s="259" t="s">
        <v>907</v>
      </c>
      <c r="B624" s="271">
        <v>801</v>
      </c>
      <c r="C624" s="252" t="s">
        <v>190</v>
      </c>
      <c r="D624" s="252" t="s">
        <v>207</v>
      </c>
      <c r="E624" s="252" t="s">
        <v>1284</v>
      </c>
      <c r="F624" s="252" t="s">
        <v>96</v>
      </c>
      <c r="G624" s="257"/>
      <c r="H624" s="257"/>
      <c r="I624" s="257"/>
      <c r="J624" s="257">
        <f t="shared" si="1019"/>
        <v>0</v>
      </c>
      <c r="K624" s="257"/>
      <c r="L624" s="257">
        <f t="shared" ref="L624:L625" si="1025">H624+J624</f>
        <v>0</v>
      </c>
      <c r="M624" s="257">
        <f t="shared" ref="M624:M625" si="1026">I624+K624</f>
        <v>0</v>
      </c>
      <c r="N624" s="257">
        <f t="shared" ref="N624:N625" si="1027">J624+L624</f>
        <v>0</v>
      </c>
      <c r="O624" s="257">
        <f t="shared" ref="O624:O625" si="1028">K624+M624</f>
        <v>0</v>
      </c>
      <c r="P624" s="257">
        <f t="shared" ref="P624:P625" si="1029">L624+N624</f>
        <v>0</v>
      </c>
      <c r="Q624" s="257">
        <f t="shared" ref="Q624:Q625" si="1030">M624+O624</f>
        <v>0</v>
      </c>
      <c r="R624" s="257">
        <v>170</v>
      </c>
      <c r="S624" s="257">
        <v>22.2</v>
      </c>
      <c r="T624" s="257">
        <f>R624+S624</f>
        <v>192.2</v>
      </c>
      <c r="U624" s="257">
        <v>-7.41</v>
      </c>
      <c r="V624" s="257">
        <v>184.79</v>
      </c>
      <c r="W624" s="257">
        <v>30.71</v>
      </c>
      <c r="X624" s="257">
        <v>0</v>
      </c>
      <c r="Y624" s="257">
        <v>262.60000000000002</v>
      </c>
      <c r="Z624" s="257">
        <f>X624+Y624</f>
        <v>262.60000000000002</v>
      </c>
    </row>
    <row r="625" spans="1:26" ht="30" x14ac:dyDescent="0.2">
      <c r="A625" s="375" t="s">
        <v>898</v>
      </c>
      <c r="B625" s="271">
        <v>801</v>
      </c>
      <c r="C625" s="252" t="s">
        <v>190</v>
      </c>
      <c r="D625" s="252" t="s">
        <v>207</v>
      </c>
      <c r="E625" s="252" t="s">
        <v>1284</v>
      </c>
      <c r="F625" s="252" t="s">
        <v>896</v>
      </c>
      <c r="G625" s="257"/>
      <c r="H625" s="257"/>
      <c r="I625" s="257">
        <v>-7046.4</v>
      </c>
      <c r="J625" s="257">
        <f t="shared" si="1019"/>
        <v>-7046.4</v>
      </c>
      <c r="K625" s="257">
        <v>-7046.4</v>
      </c>
      <c r="L625" s="257">
        <f t="shared" si="1025"/>
        <v>-7046.4</v>
      </c>
      <c r="M625" s="257">
        <f t="shared" si="1026"/>
        <v>-14092.8</v>
      </c>
      <c r="N625" s="257">
        <f t="shared" si="1027"/>
        <v>-14092.8</v>
      </c>
      <c r="O625" s="257">
        <f t="shared" si="1028"/>
        <v>-21139.199999999997</v>
      </c>
      <c r="P625" s="257">
        <f t="shared" si="1029"/>
        <v>-21139.199999999997</v>
      </c>
      <c r="Q625" s="257">
        <f t="shared" si="1030"/>
        <v>-35232</v>
      </c>
      <c r="R625" s="257">
        <v>51</v>
      </c>
      <c r="S625" s="257">
        <v>7</v>
      </c>
      <c r="T625" s="257">
        <f>R625+S625</f>
        <v>58</v>
      </c>
      <c r="U625" s="257">
        <v>-2.19</v>
      </c>
      <c r="V625" s="257">
        <v>55.81</v>
      </c>
      <c r="W625" s="257">
        <v>9.2899999999999991</v>
      </c>
      <c r="X625" s="257">
        <v>0</v>
      </c>
      <c r="Y625" s="257">
        <v>79.3</v>
      </c>
      <c r="Z625" s="257">
        <f>X625+Y625</f>
        <v>79.3</v>
      </c>
    </row>
    <row r="626" spans="1:26" x14ac:dyDescent="0.2">
      <c r="A626" s="375" t="s">
        <v>93</v>
      </c>
      <c r="B626" s="271">
        <v>802</v>
      </c>
      <c r="C626" s="252" t="s">
        <v>190</v>
      </c>
      <c r="D626" s="252" t="s">
        <v>207</v>
      </c>
      <c r="E626" s="252" t="s">
        <v>1284</v>
      </c>
      <c r="F626" s="252" t="s">
        <v>94</v>
      </c>
      <c r="G626" s="257"/>
      <c r="H626" s="257"/>
      <c r="I626" s="257">
        <v>-7045.4</v>
      </c>
      <c r="J626" s="257">
        <f t="shared" si="1019"/>
        <v>-7045.4</v>
      </c>
      <c r="K626" s="257">
        <v>-7045.4</v>
      </c>
      <c r="L626" s="257">
        <f t="shared" ref="L626" si="1031">H626+J626</f>
        <v>-7045.4</v>
      </c>
      <c r="M626" s="257">
        <f t="shared" ref="M626" si="1032">I626+K626</f>
        <v>-14090.8</v>
      </c>
      <c r="N626" s="257">
        <f t="shared" ref="N626" si="1033">J626+L626</f>
        <v>-14090.8</v>
      </c>
      <c r="O626" s="257">
        <f t="shared" ref="O626" si="1034">K626+M626</f>
        <v>-21136.199999999997</v>
      </c>
      <c r="P626" s="257">
        <f t="shared" ref="P626" si="1035">L626+N626</f>
        <v>-21136.199999999997</v>
      </c>
      <c r="Q626" s="257">
        <f t="shared" ref="Q626" si="1036">M626+O626</f>
        <v>-35227</v>
      </c>
      <c r="R626" s="257">
        <v>51</v>
      </c>
      <c r="S626" s="257">
        <v>7</v>
      </c>
      <c r="T626" s="257">
        <f>R626+S626</f>
        <v>58</v>
      </c>
      <c r="U626" s="257">
        <v>-2.19</v>
      </c>
      <c r="V626" s="257">
        <v>55.81</v>
      </c>
      <c r="W626" s="257">
        <v>9.2899999999999991</v>
      </c>
      <c r="X626" s="257">
        <v>0</v>
      </c>
      <c r="Y626" s="257">
        <v>54.999999999999957</v>
      </c>
      <c r="Z626" s="257">
        <f>X626+Y626</f>
        <v>54.999999999999957</v>
      </c>
    </row>
    <row r="627" spans="1:26" ht="17.25" customHeight="1" x14ac:dyDescent="0.2">
      <c r="A627" s="259" t="s">
        <v>509</v>
      </c>
      <c r="B627" s="271">
        <v>801</v>
      </c>
      <c r="C627" s="252" t="s">
        <v>190</v>
      </c>
      <c r="D627" s="252" t="s">
        <v>207</v>
      </c>
      <c r="E627" s="252" t="s">
        <v>818</v>
      </c>
      <c r="F627" s="252"/>
      <c r="G627" s="257"/>
      <c r="H627" s="257"/>
      <c r="I627" s="257"/>
      <c r="J627" s="257" t="e">
        <f>#REF!+I627</f>
        <v>#REF!</v>
      </c>
      <c r="K627" s="257"/>
      <c r="L627" s="257" t="e">
        <f t="shared" ref="L627:Q631" si="1037">F627+J627</f>
        <v>#REF!</v>
      </c>
      <c r="M627" s="257">
        <f t="shared" si="1037"/>
        <v>0</v>
      </c>
      <c r="N627" s="257" t="e">
        <f t="shared" si="1037"/>
        <v>#REF!</v>
      </c>
      <c r="O627" s="257">
        <f t="shared" si="1037"/>
        <v>0</v>
      </c>
      <c r="P627" s="257" t="e">
        <f t="shared" si="1037"/>
        <v>#REF!</v>
      </c>
      <c r="Q627" s="257">
        <f t="shared" si="1037"/>
        <v>0</v>
      </c>
      <c r="R627" s="257">
        <f>R628</f>
        <v>53</v>
      </c>
      <c r="S627" s="257">
        <f t="shared" ref="S627:Z627" si="1038">S628</f>
        <v>-43</v>
      </c>
      <c r="T627" s="257">
        <f t="shared" si="1038"/>
        <v>10</v>
      </c>
      <c r="U627" s="257">
        <f t="shared" si="1038"/>
        <v>20</v>
      </c>
      <c r="V627" s="257">
        <f t="shared" si="1038"/>
        <v>10</v>
      </c>
      <c r="W627" s="257">
        <f t="shared" si="1038"/>
        <v>0</v>
      </c>
      <c r="X627" s="257">
        <f t="shared" si="1038"/>
        <v>10</v>
      </c>
      <c r="Y627" s="257">
        <f t="shared" si="1038"/>
        <v>0</v>
      </c>
      <c r="Z627" s="257">
        <f t="shared" si="1038"/>
        <v>10</v>
      </c>
    </row>
    <row r="628" spans="1:26" ht="17.25" customHeight="1" x14ac:dyDescent="0.2">
      <c r="A628" s="259" t="s">
        <v>93</v>
      </c>
      <c r="B628" s="271">
        <v>801</v>
      </c>
      <c r="C628" s="252" t="s">
        <v>190</v>
      </c>
      <c r="D628" s="252" t="s">
        <v>207</v>
      </c>
      <c r="E628" s="252" t="s">
        <v>818</v>
      </c>
      <c r="F628" s="252" t="s">
        <v>94</v>
      </c>
      <c r="G628" s="257"/>
      <c r="H628" s="257"/>
      <c r="I628" s="257"/>
      <c r="J628" s="257" t="e">
        <f>#REF!+I628</f>
        <v>#REF!</v>
      </c>
      <c r="K628" s="257"/>
      <c r="L628" s="257" t="e">
        <f t="shared" si="1037"/>
        <v>#REF!</v>
      </c>
      <c r="M628" s="257">
        <f t="shared" si="1037"/>
        <v>0</v>
      </c>
      <c r="N628" s="257" t="e">
        <f t="shared" si="1037"/>
        <v>#REF!</v>
      </c>
      <c r="O628" s="257">
        <f t="shared" si="1037"/>
        <v>0</v>
      </c>
      <c r="P628" s="257" t="e">
        <f t="shared" si="1037"/>
        <v>#REF!</v>
      </c>
      <c r="Q628" s="257">
        <f t="shared" si="1037"/>
        <v>0</v>
      </c>
      <c r="R628" s="257">
        <v>53</v>
      </c>
      <c r="S628" s="257">
        <v>-43</v>
      </c>
      <c r="T628" s="257">
        <f>R628+S628</f>
        <v>10</v>
      </c>
      <c r="U628" s="257">
        <v>20</v>
      </c>
      <c r="V628" s="257">
        <v>10</v>
      </c>
      <c r="W628" s="257">
        <v>0</v>
      </c>
      <c r="X628" s="257">
        <f>V628+W628</f>
        <v>10</v>
      </c>
      <c r="Y628" s="257">
        <v>0</v>
      </c>
      <c r="Z628" s="257">
        <f>X628+Y628</f>
        <v>10</v>
      </c>
    </row>
    <row r="629" spans="1:26" ht="17.25" customHeight="1" x14ac:dyDescent="0.2">
      <c r="A629" s="259" t="s">
        <v>510</v>
      </c>
      <c r="B629" s="271">
        <v>801</v>
      </c>
      <c r="C629" s="252" t="s">
        <v>190</v>
      </c>
      <c r="D629" s="252" t="s">
        <v>207</v>
      </c>
      <c r="E629" s="252" t="s">
        <v>817</v>
      </c>
      <c r="F629" s="252"/>
      <c r="G629" s="257"/>
      <c r="H629" s="257"/>
      <c r="I629" s="257"/>
      <c r="J629" s="257" t="e">
        <f>#REF!+I629</f>
        <v>#REF!</v>
      </c>
      <c r="K629" s="257"/>
      <c r="L629" s="257" t="e">
        <f t="shared" si="1037"/>
        <v>#REF!</v>
      </c>
      <c r="M629" s="257">
        <f t="shared" si="1037"/>
        <v>0</v>
      </c>
      <c r="N629" s="257" t="e">
        <f t="shared" si="1037"/>
        <v>#REF!</v>
      </c>
      <c r="O629" s="257">
        <f t="shared" si="1037"/>
        <v>0</v>
      </c>
      <c r="P629" s="257" t="e">
        <f t="shared" si="1037"/>
        <v>#REF!</v>
      </c>
      <c r="Q629" s="257">
        <f t="shared" si="1037"/>
        <v>0</v>
      </c>
      <c r="R629" s="257">
        <f>R630+R631</f>
        <v>50</v>
      </c>
      <c r="S629" s="257">
        <f t="shared" ref="S629:T629" si="1039">S630+S631</f>
        <v>0</v>
      </c>
      <c r="T629" s="257">
        <f t="shared" si="1039"/>
        <v>50</v>
      </c>
      <c r="U629" s="257">
        <f t="shared" ref="U629:V629" si="1040">U630+U631</f>
        <v>0</v>
      </c>
      <c r="V629" s="257">
        <f t="shared" si="1040"/>
        <v>50</v>
      </c>
      <c r="W629" s="257">
        <f>W630+W631</f>
        <v>0</v>
      </c>
      <c r="X629" s="257">
        <f t="shared" ref="X629:Z629" si="1041">X630+X631</f>
        <v>50</v>
      </c>
      <c r="Y629" s="257">
        <f>Y630+Y631</f>
        <v>0</v>
      </c>
      <c r="Z629" s="257">
        <f t="shared" si="1041"/>
        <v>50</v>
      </c>
    </row>
    <row r="630" spans="1:26" ht="20.25" hidden="1" customHeight="1" x14ac:dyDescent="0.2">
      <c r="A630" s="259" t="s">
        <v>97</v>
      </c>
      <c r="B630" s="271">
        <v>801</v>
      </c>
      <c r="C630" s="252" t="s">
        <v>190</v>
      </c>
      <c r="D630" s="252" t="s">
        <v>207</v>
      </c>
      <c r="E630" s="252" t="s">
        <v>817</v>
      </c>
      <c r="F630" s="252" t="s">
        <v>98</v>
      </c>
      <c r="G630" s="257"/>
      <c r="H630" s="257"/>
      <c r="I630" s="257"/>
      <c r="J630" s="257" t="e">
        <f>#REF!+I630</f>
        <v>#REF!</v>
      </c>
      <c r="K630" s="257"/>
      <c r="L630" s="257" t="e">
        <f t="shared" si="1037"/>
        <v>#REF!</v>
      </c>
      <c r="M630" s="257">
        <f t="shared" si="1037"/>
        <v>0</v>
      </c>
      <c r="N630" s="257" t="e">
        <f t="shared" si="1037"/>
        <v>#REF!</v>
      </c>
      <c r="O630" s="257">
        <f t="shared" si="1037"/>
        <v>0</v>
      </c>
      <c r="P630" s="257" t="e">
        <f t="shared" si="1037"/>
        <v>#REF!</v>
      </c>
      <c r="Q630" s="257">
        <f t="shared" si="1037"/>
        <v>0</v>
      </c>
      <c r="R630" s="257">
        <v>0</v>
      </c>
      <c r="S630" s="257">
        <v>0</v>
      </c>
      <c r="T630" s="257">
        <f>R630+S630</f>
        <v>0</v>
      </c>
      <c r="U630" s="257">
        <v>0</v>
      </c>
      <c r="V630" s="257">
        <v>0</v>
      </c>
      <c r="W630" s="257">
        <v>0</v>
      </c>
      <c r="X630" s="257">
        <f>V630+W630</f>
        <v>0</v>
      </c>
      <c r="Y630" s="257">
        <v>0</v>
      </c>
      <c r="Z630" s="257">
        <f>X630+Y630</f>
        <v>0</v>
      </c>
    </row>
    <row r="631" spans="1:26" ht="16.5" customHeight="1" x14ac:dyDescent="0.2">
      <c r="A631" s="259" t="s">
        <v>93</v>
      </c>
      <c r="B631" s="271">
        <v>801</v>
      </c>
      <c r="C631" s="252" t="s">
        <v>190</v>
      </c>
      <c r="D631" s="252" t="s">
        <v>207</v>
      </c>
      <c r="E631" s="252" t="s">
        <v>817</v>
      </c>
      <c r="F631" s="252" t="s">
        <v>94</v>
      </c>
      <c r="G631" s="257"/>
      <c r="H631" s="257"/>
      <c r="I631" s="257"/>
      <c r="J631" s="257" t="e">
        <f>#REF!+I631</f>
        <v>#REF!</v>
      </c>
      <c r="K631" s="257"/>
      <c r="L631" s="257" t="e">
        <f t="shared" si="1037"/>
        <v>#REF!</v>
      </c>
      <c r="M631" s="257">
        <f t="shared" si="1037"/>
        <v>0</v>
      </c>
      <c r="N631" s="257" t="e">
        <f t="shared" si="1037"/>
        <v>#REF!</v>
      </c>
      <c r="O631" s="257">
        <f t="shared" si="1037"/>
        <v>0</v>
      </c>
      <c r="P631" s="257" t="e">
        <f t="shared" si="1037"/>
        <v>#REF!</v>
      </c>
      <c r="Q631" s="257">
        <f t="shared" si="1037"/>
        <v>0</v>
      </c>
      <c r="R631" s="257">
        <v>50</v>
      </c>
      <c r="S631" s="257">
        <f t="shared" ref="S631" si="1042">M631+Q631</f>
        <v>0</v>
      </c>
      <c r="T631" s="257">
        <f>R631+S631</f>
        <v>50</v>
      </c>
      <c r="U631" s="257">
        <f t="shared" ref="U631" si="1043">O631+S631</f>
        <v>0</v>
      </c>
      <c r="V631" s="257">
        <v>50</v>
      </c>
      <c r="W631" s="257">
        <v>0</v>
      </c>
      <c r="X631" s="257">
        <f>V631+W631</f>
        <v>50</v>
      </c>
      <c r="Y631" s="257">
        <v>0</v>
      </c>
      <c r="Z631" s="257">
        <f>X631+Y631</f>
        <v>50</v>
      </c>
    </row>
    <row r="632" spans="1:26" ht="19.5" hidden="1" customHeight="1" x14ac:dyDescent="0.2">
      <c r="A632" s="259" t="s">
        <v>499</v>
      </c>
      <c r="B632" s="271">
        <v>801</v>
      </c>
      <c r="C632" s="252" t="s">
        <v>190</v>
      </c>
      <c r="D632" s="252" t="s">
        <v>207</v>
      </c>
      <c r="E632" s="252" t="s">
        <v>751</v>
      </c>
      <c r="F632" s="252"/>
      <c r="G632" s="257"/>
      <c r="H632" s="257">
        <f>H633</f>
        <v>10</v>
      </c>
      <c r="I632" s="257">
        <f>I633</f>
        <v>0</v>
      </c>
      <c r="J632" s="257">
        <f t="shared" ref="J632:J633" si="1044">H632+I632</f>
        <v>10</v>
      </c>
      <c r="K632" s="257">
        <f>K633</f>
        <v>0</v>
      </c>
      <c r="L632" s="257">
        <f>L633</f>
        <v>10</v>
      </c>
      <c r="M632" s="257">
        <f>M633</f>
        <v>10</v>
      </c>
      <c r="N632" s="257">
        <f t="shared" ref="N632:Z632" si="1045">N633</f>
        <v>0</v>
      </c>
      <c r="O632" s="257">
        <f t="shared" si="1045"/>
        <v>10</v>
      </c>
      <c r="P632" s="257">
        <f t="shared" si="1045"/>
        <v>10</v>
      </c>
      <c r="Q632" s="257">
        <f t="shared" si="1045"/>
        <v>0</v>
      </c>
      <c r="R632" s="257">
        <f t="shared" si="1045"/>
        <v>10</v>
      </c>
      <c r="S632" s="257">
        <f t="shared" si="1045"/>
        <v>-10</v>
      </c>
      <c r="T632" s="257">
        <f t="shared" si="1045"/>
        <v>10</v>
      </c>
      <c r="U632" s="257">
        <f t="shared" si="1045"/>
        <v>-10</v>
      </c>
      <c r="V632" s="257">
        <f t="shared" si="1045"/>
        <v>10</v>
      </c>
      <c r="W632" s="257">
        <f t="shared" si="1045"/>
        <v>-10</v>
      </c>
      <c r="X632" s="257">
        <f t="shared" si="1045"/>
        <v>0</v>
      </c>
      <c r="Y632" s="257">
        <f t="shared" si="1045"/>
        <v>0</v>
      </c>
      <c r="Z632" s="257">
        <f t="shared" si="1045"/>
        <v>0</v>
      </c>
    </row>
    <row r="633" spans="1:26" ht="19.5" hidden="1" customHeight="1" x14ac:dyDescent="0.2">
      <c r="A633" s="259" t="s">
        <v>121</v>
      </c>
      <c r="B633" s="271">
        <v>801</v>
      </c>
      <c r="C633" s="252" t="s">
        <v>190</v>
      </c>
      <c r="D633" s="252" t="s">
        <v>207</v>
      </c>
      <c r="E633" s="252" t="s">
        <v>751</v>
      </c>
      <c r="F633" s="252" t="s">
        <v>94</v>
      </c>
      <c r="G633" s="257"/>
      <c r="H633" s="257">
        <v>10</v>
      </c>
      <c r="I633" s="257">
        <v>0</v>
      </c>
      <c r="J633" s="257">
        <f t="shared" si="1044"/>
        <v>10</v>
      </c>
      <c r="K633" s="257">
        <v>0</v>
      </c>
      <c r="L633" s="257">
        <v>10</v>
      </c>
      <c r="M633" s="257">
        <v>10</v>
      </c>
      <c r="N633" s="257">
        <v>0</v>
      </c>
      <c r="O633" s="257">
        <f>M633+N633</f>
        <v>10</v>
      </c>
      <c r="P633" s="257">
        <v>10</v>
      </c>
      <c r="Q633" s="257">
        <v>0</v>
      </c>
      <c r="R633" s="257">
        <f t="shared" ref="R633:R661" si="1046">P633+Q633</f>
        <v>10</v>
      </c>
      <c r="S633" s="257">
        <v>-10</v>
      </c>
      <c r="T633" s="257">
        <v>10</v>
      </c>
      <c r="U633" s="257">
        <v>-10</v>
      </c>
      <c r="V633" s="257">
        <v>10</v>
      </c>
      <c r="W633" s="257">
        <v>-10</v>
      </c>
      <c r="X633" s="257">
        <f t="shared" ref="X633:X634" si="1047">V633+W633</f>
        <v>0</v>
      </c>
      <c r="Y633" s="257">
        <v>0</v>
      </c>
      <c r="Z633" s="257">
        <f t="shared" ref="Z633:Z634" si="1048">X633+Y633</f>
        <v>0</v>
      </c>
    </row>
    <row r="634" spans="1:26" ht="19.5" hidden="1" customHeight="1" x14ac:dyDescent="0.2">
      <c r="A634" s="259" t="s">
        <v>93</v>
      </c>
      <c r="B634" s="271">
        <v>801</v>
      </c>
      <c r="C634" s="252" t="s">
        <v>190</v>
      </c>
      <c r="D634" s="252" t="s">
        <v>207</v>
      </c>
      <c r="E634" s="252" t="s">
        <v>1130</v>
      </c>
      <c r="F634" s="252" t="s">
        <v>94</v>
      </c>
      <c r="G634" s="257"/>
      <c r="H634" s="257">
        <v>0</v>
      </c>
      <c r="I634" s="257">
        <v>200</v>
      </c>
      <c r="J634" s="257">
        <f>H634+I634</f>
        <v>200</v>
      </c>
      <c r="K634" s="257">
        <v>0</v>
      </c>
      <c r="L634" s="257">
        <v>328</v>
      </c>
      <c r="M634" s="257">
        <v>328</v>
      </c>
      <c r="N634" s="257">
        <v>0</v>
      </c>
      <c r="O634" s="257">
        <f>M634+N634</f>
        <v>328</v>
      </c>
      <c r="P634" s="257">
        <v>0</v>
      </c>
      <c r="Q634" s="257">
        <f t="shared" ref="Q634" si="1049">O634+P634</f>
        <v>328</v>
      </c>
      <c r="R634" s="257">
        <v>0</v>
      </c>
      <c r="S634" s="257">
        <f t="shared" ref="S634" si="1050">Q634+R634</f>
        <v>328</v>
      </c>
      <c r="T634" s="257">
        <v>0</v>
      </c>
      <c r="U634" s="257">
        <v>0</v>
      </c>
      <c r="V634" s="257">
        <f t="shared" ref="V634" si="1051">T634+U634</f>
        <v>0</v>
      </c>
      <c r="W634" s="257">
        <v>0</v>
      </c>
      <c r="X634" s="257">
        <f t="shared" si="1047"/>
        <v>0</v>
      </c>
      <c r="Y634" s="257">
        <v>0</v>
      </c>
      <c r="Z634" s="257">
        <f t="shared" si="1048"/>
        <v>0</v>
      </c>
    </row>
    <row r="635" spans="1:26" s="430" customFormat="1" ht="30.75" customHeight="1" x14ac:dyDescent="0.2">
      <c r="A635" s="462" t="s">
        <v>1154</v>
      </c>
      <c r="B635" s="249">
        <v>801</v>
      </c>
      <c r="C635" s="250" t="s">
        <v>190</v>
      </c>
      <c r="D635" s="250" t="s">
        <v>207</v>
      </c>
      <c r="E635" s="250" t="s">
        <v>867</v>
      </c>
      <c r="F635" s="250"/>
      <c r="G635" s="275"/>
      <c r="H635" s="275"/>
      <c r="I635" s="275"/>
      <c r="J635" s="275"/>
      <c r="K635" s="275"/>
      <c r="L635" s="275"/>
      <c r="M635" s="275"/>
      <c r="N635" s="275"/>
      <c r="O635" s="275"/>
      <c r="P635" s="275"/>
      <c r="Q635" s="275"/>
      <c r="R635" s="275"/>
      <c r="S635" s="275"/>
      <c r="T635" s="275">
        <f>T636+T637+T639+T640+T641</f>
        <v>0</v>
      </c>
      <c r="U635" s="275">
        <f t="shared" ref="U635:V635" si="1052">U636+U637+U639+U640+U641</f>
        <v>22154</v>
      </c>
      <c r="V635" s="275">
        <f t="shared" si="1052"/>
        <v>19732</v>
      </c>
      <c r="W635" s="275">
        <f t="shared" ref="W635" si="1053">W636+W637+W639+W640+W641</f>
        <v>2381</v>
      </c>
      <c r="X635" s="275">
        <f>X636+X637+X638+X639</f>
        <v>21348.820000000065</v>
      </c>
      <c r="Y635" s="275">
        <f t="shared" ref="Y635:Z635" si="1054">Y636+Y637+Y638+Y639</f>
        <v>1200</v>
      </c>
      <c r="Z635" s="275">
        <f t="shared" si="1054"/>
        <v>22548.820000000065</v>
      </c>
    </row>
    <row r="636" spans="1:26" ht="35.25" customHeight="1" x14ac:dyDescent="0.2">
      <c r="A636" s="259" t="s">
        <v>1155</v>
      </c>
      <c r="B636" s="271">
        <v>801</v>
      </c>
      <c r="C636" s="252" t="s">
        <v>190</v>
      </c>
      <c r="D636" s="252" t="s">
        <v>207</v>
      </c>
      <c r="E636" s="252" t="s">
        <v>867</v>
      </c>
      <c r="F636" s="252" t="s">
        <v>1156</v>
      </c>
      <c r="G636" s="257"/>
      <c r="H636" s="257"/>
      <c r="I636" s="257"/>
      <c r="J636" s="257"/>
      <c r="K636" s="257"/>
      <c r="L636" s="257"/>
      <c r="M636" s="257"/>
      <c r="N636" s="257"/>
      <c r="O636" s="257"/>
      <c r="P636" s="257"/>
      <c r="Q636" s="257"/>
      <c r="R636" s="257"/>
      <c r="S636" s="257"/>
      <c r="T636" s="257">
        <v>0</v>
      </c>
      <c r="U636" s="257">
        <v>13134</v>
      </c>
      <c r="V636" s="257">
        <v>11721</v>
      </c>
      <c r="W636" s="257">
        <v>3342</v>
      </c>
      <c r="X636" s="257">
        <v>16487</v>
      </c>
      <c r="Y636" s="257">
        <v>-1800</v>
      </c>
      <c r="Z636" s="257">
        <f>X636+Y636</f>
        <v>14687</v>
      </c>
    </row>
    <row r="637" spans="1:26" ht="35.25" customHeight="1" x14ac:dyDescent="0.2">
      <c r="A637" s="259" t="s">
        <v>1155</v>
      </c>
      <c r="B637" s="271">
        <v>801</v>
      </c>
      <c r="C637" s="252" t="s">
        <v>190</v>
      </c>
      <c r="D637" s="252" t="s">
        <v>207</v>
      </c>
      <c r="E637" s="252" t="s">
        <v>1094</v>
      </c>
      <c r="F637" s="252" t="s">
        <v>1156</v>
      </c>
      <c r="G637" s="257"/>
      <c r="H637" s="257"/>
      <c r="I637" s="257"/>
      <c r="J637" s="257"/>
      <c r="K637" s="257"/>
      <c r="L637" s="257"/>
      <c r="M637" s="257"/>
      <c r="N637" s="257"/>
      <c r="O637" s="257"/>
      <c r="P637" s="257"/>
      <c r="Q637" s="257"/>
      <c r="R637" s="257"/>
      <c r="S637" s="257"/>
      <c r="T637" s="257">
        <v>0</v>
      </c>
      <c r="U637" s="257">
        <v>3970</v>
      </c>
      <c r="V637" s="257">
        <v>0</v>
      </c>
      <c r="W637" s="257">
        <v>2000</v>
      </c>
      <c r="X637" s="257">
        <v>2000</v>
      </c>
      <c r="Y637" s="257">
        <v>-2000</v>
      </c>
      <c r="Z637" s="257">
        <f t="shared" ref="Z637:Z641" si="1055">X637+Y637</f>
        <v>0</v>
      </c>
    </row>
    <row r="638" spans="1:26" ht="35.25" customHeight="1" x14ac:dyDescent="0.2">
      <c r="A638" s="259" t="s">
        <v>1155</v>
      </c>
      <c r="B638" s="271">
        <v>801</v>
      </c>
      <c r="C638" s="252" t="s">
        <v>190</v>
      </c>
      <c r="D638" s="252" t="s">
        <v>207</v>
      </c>
      <c r="E638" s="252" t="s">
        <v>1292</v>
      </c>
      <c r="F638" s="252" t="s">
        <v>1156</v>
      </c>
      <c r="G638" s="257"/>
      <c r="H638" s="257"/>
      <c r="I638" s="257"/>
      <c r="J638" s="257"/>
      <c r="K638" s="257"/>
      <c r="L638" s="257"/>
      <c r="M638" s="257"/>
      <c r="N638" s="257"/>
      <c r="O638" s="257"/>
      <c r="P638" s="257"/>
      <c r="Q638" s="257"/>
      <c r="R638" s="257"/>
      <c r="S638" s="257"/>
      <c r="T638" s="257">
        <v>0</v>
      </c>
      <c r="U638" s="257">
        <v>3970</v>
      </c>
      <c r="V638" s="257">
        <v>0</v>
      </c>
      <c r="W638" s="257">
        <v>2000</v>
      </c>
      <c r="X638" s="257">
        <v>0</v>
      </c>
      <c r="Y638" s="257">
        <v>5000</v>
      </c>
      <c r="Z638" s="257">
        <f t="shared" ref="Z638" si="1056">X638+Y638</f>
        <v>5000</v>
      </c>
    </row>
    <row r="639" spans="1:26" ht="35.25" customHeight="1" x14ac:dyDescent="0.2">
      <c r="A639" s="259" t="s">
        <v>1155</v>
      </c>
      <c r="B639" s="271">
        <v>801</v>
      </c>
      <c r="C639" s="252" t="s">
        <v>190</v>
      </c>
      <c r="D639" s="252" t="s">
        <v>207</v>
      </c>
      <c r="E639" s="252" t="s">
        <v>1130</v>
      </c>
      <c r="F639" s="252" t="s">
        <v>1156</v>
      </c>
      <c r="G639" s="257"/>
      <c r="H639" s="257"/>
      <c r="I639" s="257"/>
      <c r="J639" s="257"/>
      <c r="K639" s="257"/>
      <c r="L639" s="257"/>
      <c r="M639" s="257"/>
      <c r="N639" s="257"/>
      <c r="O639" s="257"/>
      <c r="P639" s="257"/>
      <c r="Q639" s="257"/>
      <c r="R639" s="257"/>
      <c r="S639" s="257"/>
      <c r="T639" s="257">
        <v>0</v>
      </c>
      <c r="U639" s="257">
        <v>5050</v>
      </c>
      <c r="V639" s="257">
        <v>5050</v>
      </c>
      <c r="W639" s="257">
        <v>0</v>
      </c>
      <c r="X639" s="257">
        <v>2861.8200000000652</v>
      </c>
      <c r="Y639" s="257">
        <v>0</v>
      </c>
      <c r="Z639" s="257">
        <f t="shared" si="1055"/>
        <v>2861.8200000000652</v>
      </c>
    </row>
    <row r="640" spans="1:26" ht="35.25" hidden="1" customHeight="1" x14ac:dyDescent="0.2">
      <c r="A640" s="259" t="s">
        <v>1155</v>
      </c>
      <c r="B640" s="271">
        <v>801</v>
      </c>
      <c r="C640" s="252" t="s">
        <v>190</v>
      </c>
      <c r="D640" s="252" t="s">
        <v>207</v>
      </c>
      <c r="E640" s="252" t="s">
        <v>1016</v>
      </c>
      <c r="F640" s="252" t="s">
        <v>1156</v>
      </c>
      <c r="G640" s="257"/>
      <c r="H640" s="257"/>
      <c r="I640" s="257"/>
      <c r="J640" s="257"/>
      <c r="K640" s="257"/>
      <c r="L640" s="257"/>
      <c r="M640" s="257"/>
      <c r="N640" s="257"/>
      <c r="O640" s="257"/>
      <c r="P640" s="257"/>
      <c r="Q640" s="257"/>
      <c r="R640" s="257"/>
      <c r="S640" s="257"/>
      <c r="T640" s="257">
        <v>0</v>
      </c>
      <c r="U640" s="257">
        <v>0</v>
      </c>
      <c r="V640" s="257">
        <v>1561</v>
      </c>
      <c r="W640" s="257">
        <v>-1561</v>
      </c>
      <c r="X640" s="257">
        <v>0</v>
      </c>
      <c r="Y640" s="257">
        <v>0</v>
      </c>
      <c r="Z640" s="257">
        <f t="shared" si="1055"/>
        <v>0</v>
      </c>
    </row>
    <row r="641" spans="1:26" ht="35.25" hidden="1" customHeight="1" x14ac:dyDescent="0.2">
      <c r="A641" s="259" t="s">
        <v>1155</v>
      </c>
      <c r="B641" s="271">
        <v>801</v>
      </c>
      <c r="C641" s="252" t="s">
        <v>190</v>
      </c>
      <c r="D641" s="252" t="s">
        <v>207</v>
      </c>
      <c r="E641" s="252" t="s">
        <v>1157</v>
      </c>
      <c r="F641" s="252" t="s">
        <v>1156</v>
      </c>
      <c r="G641" s="257"/>
      <c r="H641" s="257"/>
      <c r="I641" s="257"/>
      <c r="J641" s="257"/>
      <c r="K641" s="257"/>
      <c r="L641" s="257"/>
      <c r="M641" s="257"/>
      <c r="N641" s="257"/>
      <c r="O641" s="257"/>
      <c r="P641" s="257"/>
      <c r="Q641" s="257"/>
      <c r="R641" s="257"/>
      <c r="S641" s="257"/>
      <c r="T641" s="257">
        <v>0</v>
      </c>
      <c r="U641" s="257">
        <v>0</v>
      </c>
      <c r="V641" s="257">
        <v>1400</v>
      </c>
      <c r="W641" s="257">
        <v>-1400</v>
      </c>
      <c r="X641" s="257">
        <v>0</v>
      </c>
      <c r="Y641" s="257">
        <v>0</v>
      </c>
      <c r="Z641" s="257">
        <f t="shared" si="1055"/>
        <v>0</v>
      </c>
    </row>
    <row r="642" spans="1:26" ht="40.5" hidden="1" customHeight="1" x14ac:dyDescent="0.2">
      <c r="A642" s="462" t="s">
        <v>1093</v>
      </c>
      <c r="B642" s="249">
        <v>801</v>
      </c>
      <c r="C642" s="250" t="s">
        <v>190</v>
      </c>
      <c r="D642" s="250" t="s">
        <v>207</v>
      </c>
      <c r="E642" s="250" t="s">
        <v>867</v>
      </c>
      <c r="F642" s="252"/>
      <c r="G642" s="257"/>
      <c r="H642" s="257"/>
      <c r="I642" s="257"/>
      <c r="J642" s="257"/>
      <c r="K642" s="257"/>
      <c r="L642" s="257"/>
      <c r="M642" s="257"/>
      <c r="N642" s="257"/>
      <c r="O642" s="257"/>
      <c r="P642" s="257"/>
      <c r="Q642" s="257"/>
      <c r="R642" s="275">
        <f>R643+R654</f>
        <v>12127</v>
      </c>
      <c r="S642" s="275">
        <f t="shared" ref="S642:T642" si="1057">S643+S654</f>
        <v>12219.8</v>
      </c>
      <c r="T642" s="275">
        <f t="shared" si="1057"/>
        <v>23702</v>
      </c>
      <c r="U642" s="275">
        <f t="shared" ref="U642:V642" si="1058">U643+U654</f>
        <v>-23702</v>
      </c>
      <c r="V642" s="275">
        <f t="shared" si="1058"/>
        <v>0</v>
      </c>
      <c r="W642" s="275">
        <f t="shared" ref="W642:X642" si="1059">W643+W654</f>
        <v>0</v>
      </c>
      <c r="X642" s="275">
        <f t="shared" si="1059"/>
        <v>0</v>
      </c>
      <c r="Y642" s="275">
        <f t="shared" ref="Y642:Z642" si="1060">Y643+Y654</f>
        <v>0</v>
      </c>
      <c r="Z642" s="275">
        <f t="shared" si="1060"/>
        <v>0</v>
      </c>
    </row>
    <row r="643" spans="1:26" ht="18" hidden="1" customHeight="1" x14ac:dyDescent="0.2">
      <c r="A643" s="259" t="s">
        <v>506</v>
      </c>
      <c r="B643" s="249">
        <v>801</v>
      </c>
      <c r="C643" s="250" t="s">
        <v>190</v>
      </c>
      <c r="D643" s="250" t="s">
        <v>207</v>
      </c>
      <c r="E643" s="250" t="s">
        <v>867</v>
      </c>
      <c r="F643" s="252"/>
      <c r="G643" s="257">
        <f>G647+G651+G652</f>
        <v>0</v>
      </c>
      <c r="H643" s="275">
        <f>H644+H645+H647+H651+H652+H650</f>
        <v>7192</v>
      </c>
      <c r="I643" s="275">
        <f>I644+I645+I647+I651+I652+I650</f>
        <v>1484.8999999999996</v>
      </c>
      <c r="J643" s="275">
        <f>J644+J645+J647+J651+J652+J650</f>
        <v>8676.9</v>
      </c>
      <c r="K643" s="275">
        <f>K644+K645+K647+K651+K652+K650+K653</f>
        <v>9.9999999999909051E-3</v>
      </c>
      <c r="L643" s="275">
        <f>L644+L645+L650+L651+L652</f>
        <v>8814</v>
      </c>
      <c r="M643" s="275">
        <f>M644+M645+M647+M651+M652+M650+M653</f>
        <v>8814</v>
      </c>
      <c r="N643" s="275">
        <f t="shared" ref="N643:Q643" si="1061">N644+N645+N647+N651+N652+N650+N653</f>
        <v>867</v>
      </c>
      <c r="O643" s="275">
        <f t="shared" si="1061"/>
        <v>9681</v>
      </c>
      <c r="P643" s="275">
        <f t="shared" si="1061"/>
        <v>9681</v>
      </c>
      <c r="Q643" s="275">
        <f t="shared" si="1061"/>
        <v>0</v>
      </c>
      <c r="R643" s="275">
        <f>R644+R645+R646+R647+R648+R649+R650+R651+R652+R653</f>
        <v>9681</v>
      </c>
      <c r="S643" s="275">
        <f t="shared" ref="S643:T643" si="1062">S644+S645+S646+S647+S648+S649+S650+S651+S652+S653</f>
        <v>11500.8</v>
      </c>
      <c r="T643" s="275">
        <f t="shared" si="1062"/>
        <v>20741</v>
      </c>
      <c r="U643" s="275">
        <f t="shared" ref="U643:V643" si="1063">U644+U645+U646+U647+U648+U649+U650+U651+U652+U653</f>
        <v>-20741</v>
      </c>
      <c r="V643" s="275">
        <f t="shared" si="1063"/>
        <v>0</v>
      </c>
      <c r="W643" s="275">
        <f t="shared" ref="W643:X643" si="1064">W644+W645+W646+W647+W648+W649+W650+W651+W652+W653</f>
        <v>0</v>
      </c>
      <c r="X643" s="275">
        <f t="shared" si="1064"/>
        <v>0</v>
      </c>
      <c r="Y643" s="275">
        <f t="shared" ref="Y643:Z643" si="1065">Y644+Y645+Y646+Y647+Y648+Y649+Y650+Y651+Y652+Y653</f>
        <v>0</v>
      </c>
      <c r="Z643" s="275">
        <f t="shared" si="1065"/>
        <v>0</v>
      </c>
    </row>
    <row r="644" spans="1:26" ht="19.5" hidden="1" customHeight="1" x14ac:dyDescent="0.2">
      <c r="A644" s="375" t="s">
        <v>897</v>
      </c>
      <c r="B644" s="271">
        <v>801</v>
      </c>
      <c r="C644" s="252" t="s">
        <v>190</v>
      </c>
      <c r="D644" s="252" t="s">
        <v>207</v>
      </c>
      <c r="E644" s="252" t="s">
        <v>868</v>
      </c>
      <c r="F644" s="252" t="s">
        <v>832</v>
      </c>
      <c r="G644" s="257"/>
      <c r="H644" s="257">
        <v>0</v>
      </c>
      <c r="I644" s="257">
        <v>6334.5</v>
      </c>
      <c r="J644" s="257">
        <f t="shared" ref="J644:J652" si="1066">H644+I644</f>
        <v>6334.5</v>
      </c>
      <c r="K644" s="257">
        <v>0.05</v>
      </c>
      <c r="L644" s="257">
        <v>6144</v>
      </c>
      <c r="M644" s="257">
        <v>6144</v>
      </c>
      <c r="N644" s="257">
        <v>666</v>
      </c>
      <c r="O644" s="257">
        <f>M644+N644</f>
        <v>6810</v>
      </c>
      <c r="P644" s="257">
        <v>6810</v>
      </c>
      <c r="Q644" s="257">
        <v>0</v>
      </c>
      <c r="R644" s="257">
        <f t="shared" si="1046"/>
        <v>6810</v>
      </c>
      <c r="S644" s="257">
        <f>2191+338.6</f>
        <v>2529.6</v>
      </c>
      <c r="T644" s="257">
        <v>9001</v>
      </c>
      <c r="U644" s="257">
        <v>-9001</v>
      </c>
      <c r="V644" s="257">
        <f t="shared" ref="V644:V653" si="1067">T644+U644</f>
        <v>0</v>
      </c>
      <c r="W644" s="257">
        <v>0</v>
      </c>
      <c r="X644" s="257">
        <f t="shared" ref="X644:X653" si="1068">V644+W644</f>
        <v>0</v>
      </c>
      <c r="Y644" s="257">
        <v>0</v>
      </c>
      <c r="Z644" s="257">
        <f t="shared" ref="Z644:Z653" si="1069">X644+Y644</f>
        <v>0</v>
      </c>
    </row>
    <row r="645" spans="1:26" ht="32.25" hidden="1" customHeight="1" x14ac:dyDescent="0.2">
      <c r="A645" s="375" t="s">
        <v>900</v>
      </c>
      <c r="B645" s="271">
        <v>801</v>
      </c>
      <c r="C645" s="252" t="s">
        <v>190</v>
      </c>
      <c r="D645" s="252" t="s">
        <v>207</v>
      </c>
      <c r="E645" s="252" t="s">
        <v>868</v>
      </c>
      <c r="F645" s="252" t="s">
        <v>899</v>
      </c>
      <c r="G645" s="257"/>
      <c r="H645" s="257">
        <v>0</v>
      </c>
      <c r="I645" s="257">
        <v>1782.4</v>
      </c>
      <c r="J645" s="257">
        <f t="shared" si="1066"/>
        <v>1782.4</v>
      </c>
      <c r="K645" s="257">
        <v>-0.04</v>
      </c>
      <c r="L645" s="257">
        <v>1856</v>
      </c>
      <c r="M645" s="257">
        <v>1856</v>
      </c>
      <c r="N645" s="257">
        <v>201</v>
      </c>
      <c r="O645" s="257">
        <f t="shared" ref="O645:O652" si="1070">M645+N645</f>
        <v>2057</v>
      </c>
      <c r="P645" s="257">
        <v>2057</v>
      </c>
      <c r="Q645" s="257">
        <v>0</v>
      </c>
      <c r="R645" s="257">
        <f t="shared" si="1046"/>
        <v>2057</v>
      </c>
      <c r="S645" s="257">
        <f>663+102.2</f>
        <v>765.2</v>
      </c>
      <c r="T645" s="257">
        <v>2720</v>
      </c>
      <c r="U645" s="257">
        <v>-2720</v>
      </c>
      <c r="V645" s="257">
        <f t="shared" si="1067"/>
        <v>0</v>
      </c>
      <c r="W645" s="257">
        <v>0</v>
      </c>
      <c r="X645" s="257">
        <f t="shared" si="1068"/>
        <v>0</v>
      </c>
      <c r="Y645" s="257">
        <v>0</v>
      </c>
      <c r="Z645" s="257">
        <f t="shared" si="1069"/>
        <v>0</v>
      </c>
    </row>
    <row r="646" spans="1:26" ht="24.75" hidden="1" customHeight="1" x14ac:dyDescent="0.2">
      <c r="A646" s="375" t="s">
        <v>897</v>
      </c>
      <c r="B646" s="271">
        <v>801</v>
      </c>
      <c r="C646" s="252" t="s">
        <v>190</v>
      </c>
      <c r="D646" s="252" t="s">
        <v>207</v>
      </c>
      <c r="E646" s="252" t="s">
        <v>1094</v>
      </c>
      <c r="F646" s="252" t="s">
        <v>832</v>
      </c>
      <c r="G646" s="257"/>
      <c r="H646" s="257"/>
      <c r="I646" s="257"/>
      <c r="J646" s="257"/>
      <c r="K646" s="257"/>
      <c r="L646" s="257"/>
      <c r="M646" s="257"/>
      <c r="N646" s="257"/>
      <c r="O646" s="257"/>
      <c r="P646" s="257"/>
      <c r="Q646" s="257"/>
      <c r="R646" s="257">
        <v>0</v>
      </c>
      <c r="S646" s="257">
        <f>3050</f>
        <v>3050</v>
      </c>
      <c r="T646" s="257">
        <f t="shared" ref="T646:T653" si="1071">R646+S646</f>
        <v>3050</v>
      </c>
      <c r="U646" s="257">
        <v>-3050</v>
      </c>
      <c r="V646" s="257">
        <f t="shared" si="1067"/>
        <v>0</v>
      </c>
      <c r="W646" s="257">
        <v>0</v>
      </c>
      <c r="X646" s="257">
        <f t="shared" si="1068"/>
        <v>0</v>
      </c>
      <c r="Y646" s="257">
        <v>0</v>
      </c>
      <c r="Z646" s="257">
        <f t="shared" si="1069"/>
        <v>0</v>
      </c>
    </row>
    <row r="647" spans="1:26" ht="27" hidden="1" customHeight="1" x14ac:dyDescent="0.2">
      <c r="A647" s="375" t="s">
        <v>900</v>
      </c>
      <c r="B647" s="271">
        <v>801</v>
      </c>
      <c r="C647" s="252" t="s">
        <v>190</v>
      </c>
      <c r="D647" s="252" t="s">
        <v>207</v>
      </c>
      <c r="E647" s="252" t="s">
        <v>1094</v>
      </c>
      <c r="F647" s="252" t="s">
        <v>899</v>
      </c>
      <c r="G647" s="257"/>
      <c r="H647" s="257">
        <v>6632</v>
      </c>
      <c r="I647" s="257">
        <v>-6632</v>
      </c>
      <c r="J647" s="257">
        <f t="shared" si="1066"/>
        <v>0</v>
      </c>
      <c r="K647" s="257">
        <v>0</v>
      </c>
      <c r="L647" s="257">
        <f>I647+J647</f>
        <v>-6632</v>
      </c>
      <c r="M647" s="257">
        <f>J647+K647</f>
        <v>0</v>
      </c>
      <c r="N647" s="257">
        <v>0</v>
      </c>
      <c r="O647" s="257">
        <f t="shared" si="1070"/>
        <v>0</v>
      </c>
      <c r="P647" s="257">
        <f t="shared" ref="P647:Q647" si="1072">M647+N647</f>
        <v>0</v>
      </c>
      <c r="Q647" s="257">
        <f t="shared" si="1072"/>
        <v>0</v>
      </c>
      <c r="R647" s="257">
        <v>0</v>
      </c>
      <c r="S647" s="257">
        <f>920</f>
        <v>920</v>
      </c>
      <c r="T647" s="257">
        <f t="shared" si="1071"/>
        <v>920</v>
      </c>
      <c r="U647" s="257">
        <v>-920</v>
      </c>
      <c r="V647" s="257">
        <f t="shared" si="1067"/>
        <v>0</v>
      </c>
      <c r="W647" s="257">
        <v>0</v>
      </c>
      <c r="X647" s="257">
        <f t="shared" si="1068"/>
        <v>0</v>
      </c>
      <c r="Y647" s="257">
        <v>0</v>
      </c>
      <c r="Z647" s="257">
        <f t="shared" si="1069"/>
        <v>0</v>
      </c>
    </row>
    <row r="648" spans="1:26" ht="18.75" hidden="1" customHeight="1" x14ac:dyDescent="0.2">
      <c r="A648" s="259" t="s">
        <v>952</v>
      </c>
      <c r="B648" s="271">
        <v>801</v>
      </c>
      <c r="C648" s="252" t="s">
        <v>190</v>
      </c>
      <c r="D648" s="252" t="s">
        <v>207</v>
      </c>
      <c r="E648" s="252" t="s">
        <v>867</v>
      </c>
      <c r="F648" s="252" t="s">
        <v>919</v>
      </c>
      <c r="G648" s="257"/>
      <c r="H648" s="257"/>
      <c r="I648" s="257"/>
      <c r="J648" s="257"/>
      <c r="K648" s="257"/>
      <c r="L648" s="257"/>
      <c r="M648" s="257"/>
      <c r="N648" s="257"/>
      <c r="O648" s="257"/>
      <c r="P648" s="257"/>
      <c r="Q648" s="257"/>
      <c r="R648" s="257">
        <v>0</v>
      </c>
      <c r="S648" s="257">
        <v>150</v>
      </c>
      <c r="T648" s="257">
        <f t="shared" si="1071"/>
        <v>150</v>
      </c>
      <c r="U648" s="257">
        <v>-150</v>
      </c>
      <c r="V648" s="257">
        <f t="shared" si="1067"/>
        <v>0</v>
      </c>
      <c r="W648" s="257">
        <v>0</v>
      </c>
      <c r="X648" s="257">
        <f t="shared" si="1068"/>
        <v>0</v>
      </c>
      <c r="Y648" s="257">
        <v>0</v>
      </c>
      <c r="Z648" s="257">
        <f t="shared" si="1069"/>
        <v>0</v>
      </c>
    </row>
    <row r="649" spans="1:26" ht="18.75" hidden="1" customHeight="1" x14ac:dyDescent="0.2">
      <c r="A649" s="259" t="s">
        <v>99</v>
      </c>
      <c r="B649" s="271">
        <v>801</v>
      </c>
      <c r="C649" s="252" t="s">
        <v>190</v>
      </c>
      <c r="D649" s="252" t="s">
        <v>207</v>
      </c>
      <c r="E649" s="252" t="s">
        <v>867</v>
      </c>
      <c r="F649" s="252" t="s">
        <v>100</v>
      </c>
      <c r="G649" s="257"/>
      <c r="H649" s="257"/>
      <c r="I649" s="257"/>
      <c r="J649" s="257"/>
      <c r="K649" s="257"/>
      <c r="L649" s="257"/>
      <c r="M649" s="257"/>
      <c r="N649" s="257"/>
      <c r="O649" s="257"/>
      <c r="P649" s="257"/>
      <c r="Q649" s="257"/>
      <c r="R649" s="257">
        <v>0</v>
      </c>
      <c r="S649" s="257">
        <v>600</v>
      </c>
      <c r="T649" s="257">
        <f t="shared" si="1071"/>
        <v>600</v>
      </c>
      <c r="U649" s="257">
        <v>-600</v>
      </c>
      <c r="V649" s="257">
        <f t="shared" si="1067"/>
        <v>0</v>
      </c>
      <c r="W649" s="257">
        <v>0</v>
      </c>
      <c r="X649" s="257">
        <f t="shared" si="1068"/>
        <v>0</v>
      </c>
      <c r="Y649" s="257">
        <v>0</v>
      </c>
      <c r="Z649" s="257">
        <f t="shared" si="1069"/>
        <v>0</v>
      </c>
    </row>
    <row r="650" spans="1:26" ht="18.75" hidden="1" customHeight="1" x14ac:dyDescent="0.2">
      <c r="A650" s="259" t="s">
        <v>93</v>
      </c>
      <c r="B650" s="271">
        <v>801</v>
      </c>
      <c r="C650" s="252" t="s">
        <v>190</v>
      </c>
      <c r="D650" s="252" t="s">
        <v>207</v>
      </c>
      <c r="E650" s="252" t="s">
        <v>868</v>
      </c>
      <c r="F650" s="252" t="s">
        <v>94</v>
      </c>
      <c r="G650" s="257"/>
      <c r="H650" s="257">
        <v>0</v>
      </c>
      <c r="I650" s="257">
        <v>200</v>
      </c>
      <c r="J650" s="257">
        <f t="shared" si="1066"/>
        <v>200</v>
      </c>
      <c r="K650" s="257">
        <v>0</v>
      </c>
      <c r="L650" s="257">
        <v>328</v>
      </c>
      <c r="M650" s="257">
        <v>328</v>
      </c>
      <c r="N650" s="257">
        <v>0</v>
      </c>
      <c r="O650" s="257">
        <f t="shared" si="1070"/>
        <v>328</v>
      </c>
      <c r="P650" s="257">
        <v>328</v>
      </c>
      <c r="Q650" s="257">
        <v>0</v>
      </c>
      <c r="R650" s="257">
        <f t="shared" si="1046"/>
        <v>328</v>
      </c>
      <c r="S650" s="257">
        <v>3672</v>
      </c>
      <c r="T650" s="257">
        <f t="shared" si="1071"/>
        <v>4000</v>
      </c>
      <c r="U650" s="257">
        <v>-4000</v>
      </c>
      <c r="V650" s="257">
        <f t="shared" si="1067"/>
        <v>0</v>
      </c>
      <c r="W650" s="257">
        <v>0</v>
      </c>
      <c r="X650" s="257">
        <f t="shared" si="1068"/>
        <v>0</v>
      </c>
      <c r="Y650" s="257">
        <v>0</v>
      </c>
      <c r="Z650" s="257">
        <f t="shared" si="1069"/>
        <v>0</v>
      </c>
    </row>
    <row r="651" spans="1:26" ht="18.75" hidden="1" customHeight="1" x14ac:dyDescent="0.2">
      <c r="A651" s="259" t="s">
        <v>103</v>
      </c>
      <c r="B651" s="271">
        <v>801</v>
      </c>
      <c r="C651" s="252" t="s">
        <v>190</v>
      </c>
      <c r="D651" s="252" t="s">
        <v>207</v>
      </c>
      <c r="E651" s="252" t="s">
        <v>868</v>
      </c>
      <c r="F651" s="252" t="s">
        <v>104</v>
      </c>
      <c r="G651" s="257"/>
      <c r="H651" s="257">
        <v>336</v>
      </c>
      <c r="I651" s="257">
        <v>0</v>
      </c>
      <c r="J651" s="257">
        <f t="shared" si="1066"/>
        <v>336</v>
      </c>
      <c r="K651" s="257">
        <v>-150</v>
      </c>
      <c r="L651" s="257">
        <v>336</v>
      </c>
      <c r="M651" s="257">
        <v>336</v>
      </c>
      <c r="N651" s="257">
        <v>0</v>
      </c>
      <c r="O651" s="257">
        <f t="shared" si="1070"/>
        <v>336</v>
      </c>
      <c r="P651" s="257">
        <v>336</v>
      </c>
      <c r="Q651" s="257">
        <v>0</v>
      </c>
      <c r="R651" s="257">
        <f t="shared" si="1046"/>
        <v>336</v>
      </c>
      <c r="S651" s="257">
        <v>-136</v>
      </c>
      <c r="T651" s="257">
        <f t="shared" si="1071"/>
        <v>200</v>
      </c>
      <c r="U651" s="257">
        <v>-200</v>
      </c>
      <c r="V651" s="257">
        <f t="shared" si="1067"/>
        <v>0</v>
      </c>
      <c r="W651" s="257">
        <v>0</v>
      </c>
      <c r="X651" s="257">
        <f t="shared" si="1068"/>
        <v>0</v>
      </c>
      <c r="Y651" s="257">
        <v>0</v>
      </c>
      <c r="Z651" s="257">
        <f t="shared" si="1069"/>
        <v>0</v>
      </c>
    </row>
    <row r="652" spans="1:26" ht="18.75" hidden="1" customHeight="1" x14ac:dyDescent="0.2">
      <c r="A652" s="259" t="s">
        <v>105</v>
      </c>
      <c r="B652" s="271">
        <v>801</v>
      </c>
      <c r="C652" s="252" t="s">
        <v>190</v>
      </c>
      <c r="D652" s="252" t="s">
        <v>207</v>
      </c>
      <c r="E652" s="252" t="s">
        <v>868</v>
      </c>
      <c r="F652" s="252" t="s">
        <v>106</v>
      </c>
      <c r="G652" s="257"/>
      <c r="H652" s="257">
        <v>224</v>
      </c>
      <c r="I652" s="257">
        <v>-200</v>
      </c>
      <c r="J652" s="257">
        <f t="shared" si="1066"/>
        <v>24</v>
      </c>
      <c r="K652" s="257">
        <v>0</v>
      </c>
      <c r="L652" s="257">
        <v>150</v>
      </c>
      <c r="M652" s="257">
        <v>150</v>
      </c>
      <c r="N652" s="257">
        <v>0</v>
      </c>
      <c r="O652" s="257">
        <f t="shared" si="1070"/>
        <v>150</v>
      </c>
      <c r="P652" s="257">
        <v>150</v>
      </c>
      <c r="Q652" s="257">
        <v>0</v>
      </c>
      <c r="R652" s="257">
        <f t="shared" si="1046"/>
        <v>150</v>
      </c>
      <c r="S652" s="257">
        <v>-50</v>
      </c>
      <c r="T652" s="257">
        <f t="shared" si="1071"/>
        <v>100</v>
      </c>
      <c r="U652" s="257">
        <v>-100</v>
      </c>
      <c r="V652" s="257">
        <f t="shared" si="1067"/>
        <v>0</v>
      </c>
      <c r="W652" s="257">
        <v>0</v>
      </c>
      <c r="X652" s="257">
        <f t="shared" si="1068"/>
        <v>0</v>
      </c>
      <c r="Y652" s="257">
        <v>0</v>
      </c>
      <c r="Z652" s="257">
        <f t="shared" si="1069"/>
        <v>0</v>
      </c>
    </row>
    <row r="653" spans="1:26" ht="18.75" hidden="1" customHeight="1" x14ac:dyDescent="0.2">
      <c r="A653" s="259" t="s">
        <v>920</v>
      </c>
      <c r="B653" s="271">
        <v>801</v>
      </c>
      <c r="C653" s="252" t="s">
        <v>190</v>
      </c>
      <c r="D653" s="252" t="s">
        <v>207</v>
      </c>
      <c r="E653" s="252" t="s">
        <v>868</v>
      </c>
      <c r="F653" s="252" t="s">
        <v>905</v>
      </c>
      <c r="G653" s="257"/>
      <c r="H653" s="257">
        <v>224</v>
      </c>
      <c r="I653" s="257">
        <v>-200</v>
      </c>
      <c r="J653" s="257">
        <v>0</v>
      </c>
      <c r="K653" s="257">
        <v>150</v>
      </c>
      <c r="L653" s="257">
        <v>0</v>
      </c>
      <c r="M653" s="257">
        <v>0</v>
      </c>
      <c r="N653" s="257">
        <v>0</v>
      </c>
      <c r="O653" s="257">
        <v>0</v>
      </c>
      <c r="P653" s="257">
        <v>0</v>
      </c>
      <c r="Q653" s="257">
        <v>0</v>
      </c>
      <c r="R653" s="257">
        <f t="shared" si="1046"/>
        <v>0</v>
      </c>
      <c r="S653" s="257">
        <f t="shared" ref="S653" si="1073">Q653+R653</f>
        <v>0</v>
      </c>
      <c r="T653" s="257">
        <f t="shared" si="1071"/>
        <v>0</v>
      </c>
      <c r="U653" s="257">
        <f t="shared" ref="U653" si="1074">S653+T653</f>
        <v>0</v>
      </c>
      <c r="V653" s="257">
        <f t="shared" si="1067"/>
        <v>0</v>
      </c>
      <c r="W653" s="257">
        <f t="shared" ref="W653" si="1075">U653+V653</f>
        <v>0</v>
      </c>
      <c r="X653" s="257">
        <f t="shared" si="1068"/>
        <v>0</v>
      </c>
      <c r="Y653" s="257">
        <f t="shared" ref="Y653" si="1076">W653+X653</f>
        <v>0</v>
      </c>
      <c r="Z653" s="257">
        <f t="shared" si="1069"/>
        <v>0</v>
      </c>
    </row>
    <row r="654" spans="1:26" ht="18.75" hidden="1" customHeight="1" x14ac:dyDescent="0.2">
      <c r="A654" s="259" t="s">
        <v>893</v>
      </c>
      <c r="B654" s="271">
        <v>801</v>
      </c>
      <c r="C654" s="252" t="s">
        <v>190</v>
      </c>
      <c r="D654" s="252" t="s">
        <v>207</v>
      </c>
      <c r="E654" s="252" t="s">
        <v>892</v>
      </c>
      <c r="F654" s="252"/>
      <c r="G654" s="257"/>
      <c r="H654" s="275">
        <f>H655+H656+H657+H658+H660</f>
        <v>2447</v>
      </c>
      <c r="I654" s="275">
        <f>I655+I656+I657+I658+I660</f>
        <v>-1.1368683772161603E-13</v>
      </c>
      <c r="J654" s="275">
        <f>H654+I654</f>
        <v>2447</v>
      </c>
      <c r="K654" s="275">
        <f>K655+K656+K657+K658+K660+K659+K661</f>
        <v>500</v>
      </c>
      <c r="L654" s="275">
        <f>L655+L657+L658+L660+L661</f>
        <v>2410</v>
      </c>
      <c r="M654" s="275">
        <f>M655+M656+M657+M658+M660+M659+M661</f>
        <v>2410</v>
      </c>
      <c r="N654" s="275">
        <f t="shared" ref="N654:Q654" si="1077">N655+N656+N657+N658+N660+N659+N661</f>
        <v>36</v>
      </c>
      <c r="O654" s="275">
        <f t="shared" si="1077"/>
        <v>2446</v>
      </c>
      <c r="P654" s="275">
        <f t="shared" si="1077"/>
        <v>2446</v>
      </c>
      <c r="Q654" s="275">
        <f t="shared" si="1077"/>
        <v>0</v>
      </c>
      <c r="R654" s="275">
        <f>R655+R656+R657+R658+R660+R659+R661+R662</f>
        <v>2446</v>
      </c>
      <c r="S654" s="275">
        <f>S655+S656+S657+S658+S660+S659+S661+S662</f>
        <v>719</v>
      </c>
      <c r="T654" s="275">
        <f t="shared" ref="T654:V654" si="1078">T655+T656+T657+T658+T660+T659+T661+T662</f>
        <v>2961</v>
      </c>
      <c r="U654" s="275">
        <f>U655+U656+U657+U658+U660+U659+U661+U662</f>
        <v>-2961</v>
      </c>
      <c r="V654" s="275">
        <f t="shared" si="1078"/>
        <v>0</v>
      </c>
      <c r="W654" s="275">
        <f>W655+W656+W657+W658+W660+W659+W661+W662</f>
        <v>0</v>
      </c>
      <c r="X654" s="275">
        <f t="shared" ref="X654:Z654" si="1079">X655+X656+X657+X658+X660+X659+X661+X662</f>
        <v>0</v>
      </c>
      <c r="Y654" s="275">
        <f>Y655+Y656+Y657+Y658+Y660+Y659+Y661+Y662</f>
        <v>0</v>
      </c>
      <c r="Z654" s="275">
        <f t="shared" si="1079"/>
        <v>0</v>
      </c>
    </row>
    <row r="655" spans="1:26" ht="18.75" hidden="1" customHeight="1" x14ac:dyDescent="0.2">
      <c r="A655" s="375" t="s">
        <v>897</v>
      </c>
      <c r="B655" s="271">
        <v>801</v>
      </c>
      <c r="C655" s="252" t="s">
        <v>190</v>
      </c>
      <c r="D655" s="252" t="s">
        <v>207</v>
      </c>
      <c r="E655" s="252" t="s">
        <v>892</v>
      </c>
      <c r="F655" s="252" t="s">
        <v>832</v>
      </c>
      <c r="G655" s="257"/>
      <c r="H655" s="257">
        <v>0</v>
      </c>
      <c r="I655" s="257">
        <v>1034.5999999999999</v>
      </c>
      <c r="J655" s="257">
        <f>H655+I655</f>
        <v>1034.5999999999999</v>
      </c>
      <c r="K655" s="257">
        <v>-0.04</v>
      </c>
      <c r="L655" s="257">
        <v>875</v>
      </c>
      <c r="M655" s="257">
        <v>875</v>
      </c>
      <c r="N655" s="257">
        <v>28</v>
      </c>
      <c r="O655" s="257">
        <f>M655+N655</f>
        <v>903</v>
      </c>
      <c r="P655" s="257">
        <v>903</v>
      </c>
      <c r="Q655" s="257">
        <v>0</v>
      </c>
      <c r="R655" s="257">
        <f t="shared" si="1046"/>
        <v>903</v>
      </c>
      <c r="S655" s="257">
        <v>312</v>
      </c>
      <c r="T655" s="257">
        <v>1199</v>
      </c>
      <c r="U655" s="257">
        <v>-1199</v>
      </c>
      <c r="V655" s="257">
        <f t="shared" ref="V655:V662" si="1080">T655+U655</f>
        <v>0</v>
      </c>
      <c r="W655" s="257">
        <v>0</v>
      </c>
      <c r="X655" s="257">
        <f t="shared" ref="X655:X662" si="1081">V655+W655</f>
        <v>0</v>
      </c>
      <c r="Y655" s="257">
        <v>0</v>
      </c>
      <c r="Z655" s="257">
        <f t="shared" ref="Z655:Z662" si="1082">X655+Y655</f>
        <v>0</v>
      </c>
    </row>
    <row r="656" spans="1:26" ht="18.75" hidden="1" customHeight="1" x14ac:dyDescent="0.2">
      <c r="A656" s="375" t="s">
        <v>907</v>
      </c>
      <c r="B656" s="271">
        <v>801</v>
      </c>
      <c r="C656" s="252" t="s">
        <v>190</v>
      </c>
      <c r="D656" s="252" t="s">
        <v>207</v>
      </c>
      <c r="E656" s="252" t="s">
        <v>892</v>
      </c>
      <c r="F656" s="252" t="s">
        <v>96</v>
      </c>
      <c r="G656" s="257"/>
      <c r="H656" s="257">
        <v>1347</v>
      </c>
      <c r="I656" s="257">
        <v>-1347</v>
      </c>
      <c r="J656" s="257">
        <f>H656+I656</f>
        <v>0</v>
      </c>
      <c r="K656" s="257">
        <v>0</v>
      </c>
      <c r="L656" s="257">
        <f>I656+J656</f>
        <v>-1347</v>
      </c>
      <c r="M656" s="257">
        <f>J656+K656</f>
        <v>0</v>
      </c>
      <c r="N656" s="257">
        <v>0</v>
      </c>
      <c r="O656" s="257">
        <f t="shared" ref="O656:O661" si="1083">M656+N656</f>
        <v>0</v>
      </c>
      <c r="P656" s="257">
        <f t="shared" ref="P656:Q656" si="1084">M656+N656</f>
        <v>0</v>
      </c>
      <c r="Q656" s="257">
        <f t="shared" si="1084"/>
        <v>0</v>
      </c>
      <c r="R656" s="257">
        <f t="shared" si="1046"/>
        <v>0</v>
      </c>
      <c r="S656" s="257">
        <f t="shared" ref="S656:S659" si="1085">Q656+R656</f>
        <v>0</v>
      </c>
      <c r="T656" s="257">
        <f t="shared" ref="T656:T661" si="1086">R656+S656</f>
        <v>0</v>
      </c>
      <c r="U656" s="257">
        <f t="shared" ref="U656" si="1087">S656+T656</f>
        <v>0</v>
      </c>
      <c r="V656" s="257">
        <f t="shared" si="1080"/>
        <v>0</v>
      </c>
      <c r="W656" s="257">
        <f t="shared" ref="W656" si="1088">U656+V656</f>
        <v>0</v>
      </c>
      <c r="X656" s="257">
        <f t="shared" si="1081"/>
        <v>0</v>
      </c>
      <c r="Y656" s="257">
        <f t="shared" ref="Y656" si="1089">W656+X656</f>
        <v>0</v>
      </c>
      <c r="Z656" s="257">
        <f t="shared" si="1082"/>
        <v>0</v>
      </c>
    </row>
    <row r="657" spans="1:26" ht="32.25" hidden="1" customHeight="1" x14ac:dyDescent="0.2">
      <c r="A657" s="375" t="s">
        <v>900</v>
      </c>
      <c r="B657" s="271">
        <v>801</v>
      </c>
      <c r="C657" s="252" t="s">
        <v>190</v>
      </c>
      <c r="D657" s="252" t="s">
        <v>207</v>
      </c>
      <c r="E657" s="252" t="s">
        <v>892</v>
      </c>
      <c r="F657" s="382" t="s">
        <v>899</v>
      </c>
      <c r="G657" s="257"/>
      <c r="H657" s="257">
        <v>0</v>
      </c>
      <c r="I657" s="257">
        <v>312.39999999999998</v>
      </c>
      <c r="J657" s="257">
        <f>H657+I657</f>
        <v>312.39999999999998</v>
      </c>
      <c r="K657" s="257">
        <v>0.04</v>
      </c>
      <c r="L657" s="257">
        <v>265</v>
      </c>
      <c r="M657" s="257">
        <v>265</v>
      </c>
      <c r="N657" s="257">
        <v>8</v>
      </c>
      <c r="O657" s="257">
        <f t="shared" si="1083"/>
        <v>273</v>
      </c>
      <c r="P657" s="257">
        <v>273</v>
      </c>
      <c r="Q657" s="257">
        <v>0</v>
      </c>
      <c r="R657" s="257">
        <f t="shared" si="1046"/>
        <v>273</v>
      </c>
      <c r="S657" s="257">
        <v>94</v>
      </c>
      <c r="T657" s="257">
        <v>362</v>
      </c>
      <c r="U657" s="257">
        <v>-362</v>
      </c>
      <c r="V657" s="257">
        <f t="shared" si="1080"/>
        <v>0</v>
      </c>
      <c r="W657" s="257">
        <v>0</v>
      </c>
      <c r="X657" s="257">
        <f t="shared" si="1081"/>
        <v>0</v>
      </c>
      <c r="Y657" s="257">
        <v>0</v>
      </c>
      <c r="Z657" s="257">
        <f t="shared" si="1082"/>
        <v>0</v>
      </c>
    </row>
    <row r="658" spans="1:26" ht="16.5" hidden="1" customHeight="1" x14ac:dyDescent="0.2">
      <c r="A658" s="259" t="s">
        <v>99</v>
      </c>
      <c r="B658" s="271">
        <v>801</v>
      </c>
      <c r="C658" s="252" t="s">
        <v>190</v>
      </c>
      <c r="D658" s="252" t="s">
        <v>207</v>
      </c>
      <c r="E658" s="252" t="s">
        <v>892</v>
      </c>
      <c r="F658" s="252" t="s">
        <v>100</v>
      </c>
      <c r="G658" s="257"/>
      <c r="H658" s="257">
        <v>196</v>
      </c>
      <c r="I658" s="257">
        <v>0</v>
      </c>
      <c r="J658" s="257">
        <f>H658+I658</f>
        <v>196</v>
      </c>
      <c r="K658" s="257">
        <v>0</v>
      </c>
      <c r="L658" s="257">
        <v>190</v>
      </c>
      <c r="M658" s="257">
        <v>190</v>
      </c>
      <c r="N658" s="257">
        <v>0</v>
      </c>
      <c r="O658" s="257">
        <f t="shared" si="1083"/>
        <v>190</v>
      </c>
      <c r="P658" s="257">
        <v>190</v>
      </c>
      <c r="Q658" s="257">
        <v>0</v>
      </c>
      <c r="R658" s="257">
        <f t="shared" si="1046"/>
        <v>190</v>
      </c>
      <c r="S658" s="257">
        <v>0</v>
      </c>
      <c r="T658" s="257">
        <f t="shared" si="1086"/>
        <v>190</v>
      </c>
      <c r="U658" s="257">
        <v>-190</v>
      </c>
      <c r="V658" s="257">
        <f t="shared" si="1080"/>
        <v>0</v>
      </c>
      <c r="W658" s="257">
        <v>0</v>
      </c>
      <c r="X658" s="257">
        <f t="shared" si="1081"/>
        <v>0</v>
      </c>
      <c r="Y658" s="257">
        <v>0</v>
      </c>
      <c r="Z658" s="257">
        <f t="shared" si="1082"/>
        <v>0</v>
      </c>
    </row>
    <row r="659" spans="1:26" ht="16.5" hidden="1" customHeight="1" x14ac:dyDescent="0.2">
      <c r="A659" s="259" t="s">
        <v>921</v>
      </c>
      <c r="B659" s="271">
        <v>801</v>
      </c>
      <c r="C659" s="252" t="s">
        <v>190</v>
      </c>
      <c r="D659" s="252" t="s">
        <v>207</v>
      </c>
      <c r="E659" s="252" t="s">
        <v>892</v>
      </c>
      <c r="F659" s="252" t="s">
        <v>102</v>
      </c>
      <c r="G659" s="257"/>
      <c r="H659" s="257"/>
      <c r="I659" s="257"/>
      <c r="J659" s="257"/>
      <c r="K659" s="257">
        <v>21.1</v>
      </c>
      <c r="L659" s="257">
        <v>0</v>
      </c>
      <c r="M659" s="257">
        <v>0</v>
      </c>
      <c r="N659" s="257">
        <v>0</v>
      </c>
      <c r="O659" s="257">
        <f t="shared" si="1083"/>
        <v>0</v>
      </c>
      <c r="P659" s="257">
        <v>0</v>
      </c>
      <c r="Q659" s="257">
        <v>0</v>
      </c>
      <c r="R659" s="257">
        <f t="shared" si="1046"/>
        <v>0</v>
      </c>
      <c r="S659" s="257">
        <f t="shared" si="1085"/>
        <v>0</v>
      </c>
      <c r="T659" s="257">
        <f t="shared" si="1086"/>
        <v>0</v>
      </c>
      <c r="U659" s="257">
        <f t="shared" ref="U659" si="1090">S659+T659</f>
        <v>0</v>
      </c>
      <c r="V659" s="257">
        <f t="shared" si="1080"/>
        <v>0</v>
      </c>
      <c r="W659" s="257">
        <f t="shared" ref="W659" si="1091">U659+V659</f>
        <v>0</v>
      </c>
      <c r="X659" s="257">
        <f t="shared" si="1081"/>
        <v>0</v>
      </c>
      <c r="Y659" s="257">
        <f t="shared" ref="Y659" si="1092">W659+X659</f>
        <v>0</v>
      </c>
      <c r="Z659" s="257">
        <f t="shared" si="1082"/>
        <v>0</v>
      </c>
    </row>
    <row r="660" spans="1:26" ht="16.5" hidden="1" customHeight="1" x14ac:dyDescent="0.2">
      <c r="A660" s="259" t="s">
        <v>93</v>
      </c>
      <c r="B660" s="271">
        <v>801</v>
      </c>
      <c r="C660" s="252" t="s">
        <v>190</v>
      </c>
      <c r="D660" s="252" t="s">
        <v>207</v>
      </c>
      <c r="E660" s="252" t="s">
        <v>892</v>
      </c>
      <c r="F660" s="252" t="s">
        <v>94</v>
      </c>
      <c r="G660" s="257"/>
      <c r="H660" s="257">
        <v>904</v>
      </c>
      <c r="I660" s="257">
        <v>0</v>
      </c>
      <c r="J660" s="257">
        <f>H660+I660</f>
        <v>904</v>
      </c>
      <c r="K660" s="257">
        <v>298.89999999999998</v>
      </c>
      <c r="L660" s="257">
        <v>900</v>
      </c>
      <c r="M660" s="257">
        <v>900</v>
      </c>
      <c r="N660" s="257">
        <v>0</v>
      </c>
      <c r="O660" s="257">
        <f t="shared" si="1083"/>
        <v>900</v>
      </c>
      <c r="P660" s="257">
        <v>900</v>
      </c>
      <c r="Q660" s="257">
        <v>0</v>
      </c>
      <c r="R660" s="257">
        <f t="shared" si="1046"/>
        <v>900</v>
      </c>
      <c r="S660" s="257">
        <f>300+173</f>
        <v>473</v>
      </c>
      <c r="T660" s="257">
        <v>1200</v>
      </c>
      <c r="U660" s="257">
        <v>-1200</v>
      </c>
      <c r="V660" s="257">
        <f t="shared" si="1080"/>
        <v>0</v>
      </c>
      <c r="W660" s="257">
        <v>0</v>
      </c>
      <c r="X660" s="257">
        <f t="shared" si="1081"/>
        <v>0</v>
      </c>
      <c r="Y660" s="257">
        <v>0</v>
      </c>
      <c r="Z660" s="257">
        <f t="shared" si="1082"/>
        <v>0</v>
      </c>
    </row>
    <row r="661" spans="1:26" ht="16.5" hidden="1" customHeight="1" x14ac:dyDescent="0.2">
      <c r="A661" s="259" t="s">
        <v>103</v>
      </c>
      <c r="B661" s="271">
        <v>801</v>
      </c>
      <c r="C661" s="252" t="s">
        <v>190</v>
      </c>
      <c r="D661" s="252" t="s">
        <v>207</v>
      </c>
      <c r="E661" s="252" t="s">
        <v>892</v>
      </c>
      <c r="F661" s="252" t="s">
        <v>104</v>
      </c>
      <c r="G661" s="257"/>
      <c r="H661" s="257">
        <v>904</v>
      </c>
      <c r="I661" s="257">
        <v>0</v>
      </c>
      <c r="J661" s="257">
        <v>0</v>
      </c>
      <c r="K661" s="257">
        <v>180</v>
      </c>
      <c r="L661" s="257">
        <v>180</v>
      </c>
      <c r="M661" s="257">
        <v>180</v>
      </c>
      <c r="N661" s="257">
        <v>0</v>
      </c>
      <c r="O661" s="257">
        <f t="shared" si="1083"/>
        <v>180</v>
      </c>
      <c r="P661" s="257">
        <v>180</v>
      </c>
      <c r="Q661" s="257">
        <v>0</v>
      </c>
      <c r="R661" s="257">
        <f t="shared" si="1046"/>
        <v>180</v>
      </c>
      <c r="S661" s="257">
        <v>-170</v>
      </c>
      <c r="T661" s="257">
        <f t="shared" si="1086"/>
        <v>10</v>
      </c>
      <c r="U661" s="257">
        <v>-10</v>
      </c>
      <c r="V661" s="257">
        <f t="shared" si="1080"/>
        <v>0</v>
      </c>
      <c r="W661" s="257">
        <v>0</v>
      </c>
      <c r="X661" s="257">
        <f t="shared" si="1081"/>
        <v>0</v>
      </c>
      <c r="Y661" s="257">
        <v>0</v>
      </c>
      <c r="Z661" s="257">
        <f t="shared" si="1082"/>
        <v>0</v>
      </c>
    </row>
    <row r="662" spans="1:26" ht="20.25" hidden="1" customHeight="1" x14ac:dyDescent="0.2">
      <c r="A662" s="259" t="s">
        <v>105</v>
      </c>
      <c r="B662" s="271">
        <v>801</v>
      </c>
      <c r="C662" s="252" t="s">
        <v>190</v>
      </c>
      <c r="D662" s="252" t="s">
        <v>207</v>
      </c>
      <c r="E662" s="252" t="s">
        <v>892</v>
      </c>
      <c r="F662" s="252" t="s">
        <v>106</v>
      </c>
      <c r="G662" s="257"/>
      <c r="H662" s="257">
        <v>904</v>
      </c>
      <c r="I662" s="257">
        <v>0</v>
      </c>
      <c r="J662" s="257">
        <v>0</v>
      </c>
      <c r="K662" s="257">
        <v>180</v>
      </c>
      <c r="L662" s="257">
        <v>180</v>
      </c>
      <c r="M662" s="257">
        <v>180</v>
      </c>
      <c r="N662" s="257">
        <v>0</v>
      </c>
      <c r="O662" s="257">
        <f t="shared" ref="O662" si="1093">M662+N662</f>
        <v>180</v>
      </c>
      <c r="P662" s="257">
        <v>180</v>
      </c>
      <c r="Q662" s="257">
        <v>0</v>
      </c>
      <c r="R662" s="257">
        <v>0</v>
      </c>
      <c r="S662" s="257">
        <v>10</v>
      </c>
      <c r="T662" s="257">
        <v>0</v>
      </c>
      <c r="U662" s="257">
        <v>0</v>
      </c>
      <c r="V662" s="257">
        <f t="shared" si="1080"/>
        <v>0</v>
      </c>
      <c r="W662" s="257">
        <v>0</v>
      </c>
      <c r="X662" s="257">
        <f t="shared" si="1081"/>
        <v>0</v>
      </c>
      <c r="Y662" s="257">
        <v>0</v>
      </c>
      <c r="Z662" s="257">
        <f t="shared" si="1082"/>
        <v>0</v>
      </c>
    </row>
    <row r="663" spans="1:26" s="430" customFormat="1" ht="18.75" customHeight="1" x14ac:dyDescent="0.2">
      <c r="A663" s="462" t="s">
        <v>236</v>
      </c>
      <c r="B663" s="249">
        <v>801</v>
      </c>
      <c r="C663" s="250" t="s">
        <v>194</v>
      </c>
      <c r="D663" s="250"/>
      <c r="E663" s="250"/>
      <c r="F663" s="250"/>
      <c r="G663" s="275">
        <f t="shared" ref="G663:W663" si="1094">G670+G721</f>
        <v>0</v>
      </c>
      <c r="H663" s="275">
        <f t="shared" si="1094"/>
        <v>3246</v>
      </c>
      <c r="I663" s="275">
        <f t="shared" si="1094"/>
        <v>-22</v>
      </c>
      <c r="J663" s="275">
        <f t="shared" si="1094"/>
        <v>3224</v>
      </c>
      <c r="K663" s="275">
        <f t="shared" si="1094"/>
        <v>-103</v>
      </c>
      <c r="L663" s="275">
        <f t="shared" si="1094"/>
        <v>3461</v>
      </c>
      <c r="M663" s="275">
        <f t="shared" si="1094"/>
        <v>3461</v>
      </c>
      <c r="N663" s="275">
        <f t="shared" si="1094"/>
        <v>322</v>
      </c>
      <c r="O663" s="275">
        <f t="shared" si="1094"/>
        <v>3783</v>
      </c>
      <c r="P663" s="275">
        <f t="shared" si="1094"/>
        <v>3783</v>
      </c>
      <c r="Q663" s="275">
        <f t="shared" si="1094"/>
        <v>0</v>
      </c>
      <c r="R663" s="275">
        <f t="shared" si="1094"/>
        <v>3783</v>
      </c>
      <c r="S663" s="275">
        <f t="shared" si="1094"/>
        <v>2847.2</v>
      </c>
      <c r="T663" s="275">
        <f t="shared" si="1094"/>
        <v>6822.2</v>
      </c>
      <c r="U663" s="275">
        <f t="shared" si="1094"/>
        <v>-343.2</v>
      </c>
      <c r="V663" s="275">
        <f t="shared" si="1094"/>
        <v>5622.7</v>
      </c>
      <c r="W663" s="275">
        <f t="shared" si="1094"/>
        <v>1068.3</v>
      </c>
      <c r="X663" s="275">
        <f>X670+X711+X721</f>
        <v>6981</v>
      </c>
      <c r="Y663" s="275">
        <f t="shared" ref="Y663:Z663" si="1095">Y670+Y711+Y721</f>
        <v>1030</v>
      </c>
      <c r="Z663" s="275">
        <f t="shared" si="1095"/>
        <v>8011</v>
      </c>
    </row>
    <row r="664" spans="1:26" ht="12.75" hidden="1" customHeight="1" x14ac:dyDescent="0.2">
      <c r="A664" s="462" t="s">
        <v>211</v>
      </c>
      <c r="B664" s="249">
        <v>801</v>
      </c>
      <c r="C664" s="250" t="s">
        <v>194</v>
      </c>
      <c r="D664" s="250" t="s">
        <v>192</v>
      </c>
      <c r="E664" s="250"/>
      <c r="F664" s="250"/>
      <c r="G664" s="257"/>
      <c r="H664" s="257"/>
      <c r="I664" s="257" t="e">
        <f t="shared" ref="I664:Y666" si="1096">I665</f>
        <v>#REF!</v>
      </c>
      <c r="J664" s="257" t="e">
        <f t="shared" si="1096"/>
        <v>#REF!</v>
      </c>
      <c r="K664" s="257" t="e">
        <f t="shared" si="1096"/>
        <v>#REF!</v>
      </c>
      <c r="L664" s="257" t="e">
        <f t="shared" si="1096"/>
        <v>#REF!</v>
      </c>
      <c r="M664" s="257" t="e">
        <f t="shared" si="1096"/>
        <v>#REF!</v>
      </c>
      <c r="N664" s="257" t="e">
        <f t="shared" si="1096"/>
        <v>#REF!</v>
      </c>
      <c r="O664" s="257" t="e">
        <f t="shared" si="1096"/>
        <v>#REF!</v>
      </c>
      <c r="P664" s="257" t="e">
        <f t="shared" si="1096"/>
        <v>#REF!</v>
      </c>
      <c r="Q664" s="257" t="e">
        <f t="shared" si="1096"/>
        <v>#REF!</v>
      </c>
      <c r="R664" s="257" t="e">
        <f t="shared" si="1096"/>
        <v>#REF!</v>
      </c>
      <c r="S664" s="257" t="e">
        <f t="shared" si="1096"/>
        <v>#REF!</v>
      </c>
      <c r="T664" s="257" t="e">
        <f t="shared" si="1096"/>
        <v>#REF!</v>
      </c>
      <c r="U664" s="257" t="e">
        <f t="shared" si="1096"/>
        <v>#REF!</v>
      </c>
      <c r="V664" s="257" t="e">
        <f t="shared" si="1096"/>
        <v>#REF!</v>
      </c>
      <c r="W664" s="257" t="e">
        <f t="shared" si="1096"/>
        <v>#REF!</v>
      </c>
      <c r="X664" s="257" t="e">
        <f t="shared" si="1096"/>
        <v>#REF!</v>
      </c>
      <c r="Y664" s="257" t="e">
        <f t="shared" si="1096"/>
        <v>#REF!</v>
      </c>
      <c r="Z664" s="257" t="e">
        <f t="shared" ref="Y664:Z666" si="1097">Z665</f>
        <v>#REF!</v>
      </c>
    </row>
    <row r="665" spans="1:26" ht="12.75" hidden="1" customHeight="1" x14ac:dyDescent="0.2">
      <c r="A665" s="259" t="s">
        <v>61</v>
      </c>
      <c r="B665" s="271">
        <v>801</v>
      </c>
      <c r="C665" s="252" t="s">
        <v>194</v>
      </c>
      <c r="D665" s="252" t="s">
        <v>192</v>
      </c>
      <c r="E665" s="252" t="s">
        <v>62</v>
      </c>
      <c r="F665" s="252"/>
      <c r="G665" s="257"/>
      <c r="H665" s="257"/>
      <c r="I665" s="257" t="e">
        <f>I666+I668</f>
        <v>#REF!</v>
      </c>
      <c r="J665" s="257" t="e">
        <f>J666+J668</f>
        <v>#REF!</v>
      </c>
      <c r="K665" s="257" t="e">
        <f>K666+K668</f>
        <v>#REF!</v>
      </c>
      <c r="L665" s="257" t="e">
        <f>L666+L668</f>
        <v>#REF!</v>
      </c>
      <c r="M665" s="257" t="e">
        <f>M666+M668</f>
        <v>#REF!</v>
      </c>
      <c r="N665" s="257" t="e">
        <f t="shared" ref="N665:R665" si="1098">N666+N668</f>
        <v>#REF!</v>
      </c>
      <c r="O665" s="257" t="e">
        <f t="shared" si="1098"/>
        <v>#REF!</v>
      </c>
      <c r="P665" s="257" t="e">
        <f t="shared" si="1098"/>
        <v>#REF!</v>
      </c>
      <c r="Q665" s="257" t="e">
        <f t="shared" si="1098"/>
        <v>#REF!</v>
      </c>
      <c r="R665" s="257" t="e">
        <f t="shared" si="1098"/>
        <v>#REF!</v>
      </c>
      <c r="S665" s="257" t="e">
        <f t="shared" ref="S665:T665" si="1099">S666+S668</f>
        <v>#REF!</v>
      </c>
      <c r="T665" s="257" t="e">
        <f t="shared" si="1099"/>
        <v>#REF!</v>
      </c>
      <c r="U665" s="257" t="e">
        <f t="shared" ref="U665:V665" si="1100">U666+U668</f>
        <v>#REF!</v>
      </c>
      <c r="V665" s="257" t="e">
        <f t="shared" si="1100"/>
        <v>#REF!</v>
      </c>
      <c r="W665" s="257" t="e">
        <f t="shared" ref="W665:X665" si="1101">W666+W668</f>
        <v>#REF!</v>
      </c>
      <c r="X665" s="257" t="e">
        <f t="shared" si="1101"/>
        <v>#REF!</v>
      </c>
      <c r="Y665" s="257" t="e">
        <f t="shared" ref="Y665:Z665" si="1102">Y666+Y668</f>
        <v>#REF!</v>
      </c>
      <c r="Z665" s="257" t="e">
        <f t="shared" si="1102"/>
        <v>#REF!</v>
      </c>
    </row>
    <row r="666" spans="1:26" ht="25.5" hidden="1" customHeight="1" x14ac:dyDescent="0.2">
      <c r="A666" s="259" t="s">
        <v>183</v>
      </c>
      <c r="B666" s="271">
        <v>801</v>
      </c>
      <c r="C666" s="252" t="s">
        <v>194</v>
      </c>
      <c r="D666" s="252" t="s">
        <v>192</v>
      </c>
      <c r="E666" s="252" t="s">
        <v>182</v>
      </c>
      <c r="F666" s="252"/>
      <c r="G666" s="257"/>
      <c r="H666" s="257"/>
      <c r="I666" s="257" t="e">
        <f t="shared" si="1096"/>
        <v>#REF!</v>
      </c>
      <c r="J666" s="257" t="e">
        <f t="shared" si="1096"/>
        <v>#REF!</v>
      </c>
      <c r="K666" s="257" t="e">
        <f t="shared" si="1096"/>
        <v>#REF!</v>
      </c>
      <c r="L666" s="257" t="e">
        <f t="shared" si="1096"/>
        <v>#REF!</v>
      </c>
      <c r="M666" s="257" t="e">
        <f t="shared" si="1096"/>
        <v>#REF!</v>
      </c>
      <c r="N666" s="257" t="e">
        <f t="shared" si="1096"/>
        <v>#REF!</v>
      </c>
      <c r="O666" s="257" t="e">
        <f t="shared" si="1096"/>
        <v>#REF!</v>
      </c>
      <c r="P666" s="257" t="e">
        <f t="shared" si="1096"/>
        <v>#REF!</v>
      </c>
      <c r="Q666" s="257" t="e">
        <f t="shared" si="1096"/>
        <v>#REF!</v>
      </c>
      <c r="R666" s="257" t="e">
        <f t="shared" si="1096"/>
        <v>#REF!</v>
      </c>
      <c r="S666" s="257" t="e">
        <f t="shared" si="1096"/>
        <v>#REF!</v>
      </c>
      <c r="T666" s="257" t="e">
        <f t="shared" si="1096"/>
        <v>#REF!</v>
      </c>
      <c r="U666" s="257" t="e">
        <f t="shared" si="1096"/>
        <v>#REF!</v>
      </c>
      <c r="V666" s="257" t="e">
        <f t="shared" si="1096"/>
        <v>#REF!</v>
      </c>
      <c r="W666" s="257" t="e">
        <f t="shared" si="1096"/>
        <v>#REF!</v>
      </c>
      <c r="X666" s="257" t="e">
        <f t="shared" si="1096"/>
        <v>#REF!</v>
      </c>
      <c r="Y666" s="257" t="e">
        <f t="shared" si="1097"/>
        <v>#REF!</v>
      </c>
      <c r="Z666" s="257" t="e">
        <f t="shared" si="1097"/>
        <v>#REF!</v>
      </c>
    </row>
    <row r="667" spans="1:26" ht="12.75" hidden="1" customHeight="1" x14ac:dyDescent="0.2">
      <c r="A667" s="259" t="s">
        <v>63</v>
      </c>
      <c r="B667" s="271">
        <v>801</v>
      </c>
      <c r="C667" s="252" t="s">
        <v>194</v>
      </c>
      <c r="D667" s="252" t="s">
        <v>192</v>
      </c>
      <c r="E667" s="252" t="s">
        <v>182</v>
      </c>
      <c r="F667" s="252" t="s">
        <v>64</v>
      </c>
      <c r="G667" s="257"/>
      <c r="H667" s="257"/>
      <c r="I667" s="257" t="e">
        <f>#REF!+G667</f>
        <v>#REF!</v>
      </c>
      <c r="J667" s="257" t="e">
        <f>G667+I667</f>
        <v>#REF!</v>
      </c>
      <c r="K667" s="257" t="e">
        <f>H667+I667</f>
        <v>#REF!</v>
      </c>
      <c r="L667" s="257" t="e">
        <f>H667+J667</f>
        <v>#REF!</v>
      </c>
      <c r="M667" s="257" t="e">
        <f>I667+K667</f>
        <v>#REF!</v>
      </c>
      <c r="N667" s="257" t="e">
        <f t="shared" ref="N667:O667" si="1103">J667+L667</f>
        <v>#REF!</v>
      </c>
      <c r="O667" s="257" t="e">
        <f t="shared" si="1103"/>
        <v>#REF!</v>
      </c>
      <c r="P667" s="257" t="e">
        <f>L667+N667</f>
        <v>#REF!</v>
      </c>
      <c r="Q667" s="257" t="e">
        <f t="shared" ref="Q667:R667" si="1104">M667+O667</f>
        <v>#REF!</v>
      </c>
      <c r="R667" s="257" t="e">
        <f t="shared" si="1104"/>
        <v>#REF!</v>
      </c>
      <c r="S667" s="257" t="e">
        <f t="shared" ref="S667" si="1105">O667+Q667</f>
        <v>#REF!</v>
      </c>
      <c r="T667" s="257" t="e">
        <f t="shared" ref="T667" si="1106">P667+R667</f>
        <v>#REF!</v>
      </c>
      <c r="U667" s="257" t="e">
        <f t="shared" ref="U667" si="1107">Q667+S667</f>
        <v>#REF!</v>
      </c>
      <c r="V667" s="257" t="e">
        <f t="shared" ref="V667" si="1108">R667+T667</f>
        <v>#REF!</v>
      </c>
      <c r="W667" s="257" t="e">
        <f t="shared" ref="W667" si="1109">S667+U667</f>
        <v>#REF!</v>
      </c>
      <c r="X667" s="257" t="e">
        <f t="shared" ref="X667" si="1110">T667+V667</f>
        <v>#REF!</v>
      </c>
      <c r="Y667" s="257" t="e">
        <f t="shared" ref="Y667" si="1111">U667+W667</f>
        <v>#REF!</v>
      </c>
      <c r="Z667" s="257" t="e">
        <f t="shared" ref="Z667" si="1112">V667+X667</f>
        <v>#REF!</v>
      </c>
    </row>
    <row r="668" spans="1:26" ht="25.5" hidden="1" customHeight="1" x14ac:dyDescent="0.2">
      <c r="A668" s="259" t="s">
        <v>185</v>
      </c>
      <c r="B668" s="271">
        <v>801</v>
      </c>
      <c r="C668" s="252" t="s">
        <v>194</v>
      </c>
      <c r="D668" s="252" t="s">
        <v>192</v>
      </c>
      <c r="E668" s="252" t="s">
        <v>184</v>
      </c>
      <c r="F668" s="252"/>
      <c r="G668" s="257"/>
      <c r="H668" s="257"/>
      <c r="I668" s="257" t="e">
        <f>I669</f>
        <v>#REF!</v>
      </c>
      <c r="J668" s="257" t="e">
        <f>J669</f>
        <v>#REF!</v>
      </c>
      <c r="K668" s="257" t="e">
        <f>K669</f>
        <v>#REF!</v>
      </c>
      <c r="L668" s="257" t="e">
        <f>L669</f>
        <v>#REF!</v>
      </c>
      <c r="M668" s="257" t="e">
        <f>M669</f>
        <v>#REF!</v>
      </c>
      <c r="N668" s="257" t="e">
        <f t="shared" ref="N668:Z668" si="1113">N669</f>
        <v>#REF!</v>
      </c>
      <c r="O668" s="257" t="e">
        <f t="shared" si="1113"/>
        <v>#REF!</v>
      </c>
      <c r="P668" s="257" t="e">
        <f t="shared" si="1113"/>
        <v>#REF!</v>
      </c>
      <c r="Q668" s="257" t="e">
        <f t="shared" si="1113"/>
        <v>#REF!</v>
      </c>
      <c r="R668" s="257" t="e">
        <f t="shared" si="1113"/>
        <v>#REF!</v>
      </c>
      <c r="S668" s="257" t="e">
        <f t="shared" si="1113"/>
        <v>#REF!</v>
      </c>
      <c r="T668" s="257" t="e">
        <f t="shared" si="1113"/>
        <v>#REF!</v>
      </c>
      <c r="U668" s="257" t="e">
        <f t="shared" si="1113"/>
        <v>#REF!</v>
      </c>
      <c r="V668" s="257" t="e">
        <f t="shared" si="1113"/>
        <v>#REF!</v>
      </c>
      <c r="W668" s="257" t="e">
        <f t="shared" si="1113"/>
        <v>#REF!</v>
      </c>
      <c r="X668" s="257" t="e">
        <f t="shared" si="1113"/>
        <v>#REF!</v>
      </c>
      <c r="Y668" s="257" t="e">
        <f t="shared" si="1113"/>
        <v>#REF!</v>
      </c>
      <c r="Z668" s="257" t="e">
        <f t="shared" si="1113"/>
        <v>#REF!</v>
      </c>
    </row>
    <row r="669" spans="1:26" ht="12.75" hidden="1" customHeight="1" x14ac:dyDescent="0.2">
      <c r="A669" s="259" t="s">
        <v>63</v>
      </c>
      <c r="B669" s="271">
        <v>801</v>
      </c>
      <c r="C669" s="252" t="s">
        <v>194</v>
      </c>
      <c r="D669" s="252" t="s">
        <v>192</v>
      </c>
      <c r="E669" s="252" t="s">
        <v>184</v>
      </c>
      <c r="F669" s="252" t="s">
        <v>64</v>
      </c>
      <c r="G669" s="257"/>
      <c r="H669" s="257"/>
      <c r="I669" s="257" t="e">
        <f>#REF!+G669</f>
        <v>#REF!</v>
      </c>
      <c r="J669" s="257" t="e">
        <f>G669+I669</f>
        <v>#REF!</v>
      </c>
      <c r="K669" s="257" t="e">
        <f>H669+I669</f>
        <v>#REF!</v>
      </c>
      <c r="L669" s="257" t="e">
        <f>H669+J669</f>
        <v>#REF!</v>
      </c>
      <c r="M669" s="257" t="e">
        <f>I669+K669</f>
        <v>#REF!</v>
      </c>
      <c r="N669" s="257" t="e">
        <f t="shared" ref="N669:O669" si="1114">J669+L669</f>
        <v>#REF!</v>
      </c>
      <c r="O669" s="257" t="e">
        <f t="shared" si="1114"/>
        <v>#REF!</v>
      </c>
      <c r="P669" s="257" t="e">
        <f>L669+N669</f>
        <v>#REF!</v>
      </c>
      <c r="Q669" s="257" t="e">
        <f t="shared" ref="Q669:R669" si="1115">M669+O669</f>
        <v>#REF!</v>
      </c>
      <c r="R669" s="257" t="e">
        <f t="shared" si="1115"/>
        <v>#REF!</v>
      </c>
      <c r="S669" s="257" t="e">
        <f t="shared" ref="S669" si="1116">O669+Q669</f>
        <v>#REF!</v>
      </c>
      <c r="T669" s="257" t="e">
        <f t="shared" ref="T669" si="1117">P669+R669</f>
        <v>#REF!</v>
      </c>
      <c r="U669" s="257" t="e">
        <f t="shared" ref="U669" si="1118">Q669+S669</f>
        <v>#REF!</v>
      </c>
      <c r="V669" s="257" t="e">
        <f t="shared" ref="V669" si="1119">R669+T669</f>
        <v>#REF!</v>
      </c>
      <c r="W669" s="257" t="e">
        <f t="shared" ref="W669" si="1120">S669+U669</f>
        <v>#REF!</v>
      </c>
      <c r="X669" s="257" t="e">
        <f t="shared" ref="X669" si="1121">T669+V669</f>
        <v>#REF!</v>
      </c>
      <c r="Y669" s="257" t="e">
        <f t="shared" ref="Y669" si="1122">U669+W669</f>
        <v>#REF!</v>
      </c>
      <c r="Z669" s="257" t="e">
        <f t="shared" ref="Z669" si="1123">V669+X669</f>
        <v>#REF!</v>
      </c>
    </row>
    <row r="670" spans="1:26" s="430" customFormat="1" ht="18" customHeight="1" x14ac:dyDescent="0.2">
      <c r="A670" s="462" t="s">
        <v>1165</v>
      </c>
      <c r="B670" s="249">
        <v>801</v>
      </c>
      <c r="C670" s="250" t="s">
        <v>194</v>
      </c>
      <c r="D670" s="250" t="s">
        <v>212</v>
      </c>
      <c r="E670" s="250"/>
      <c r="F670" s="250"/>
      <c r="G670" s="275">
        <f>G671+G687+G689+G694+G699</f>
        <v>0</v>
      </c>
      <c r="H670" s="275">
        <f>H689+H694+H699+H693</f>
        <v>3126</v>
      </c>
      <c r="I670" s="275">
        <f>I689+I694+I699+I693</f>
        <v>-22</v>
      </c>
      <c r="J670" s="275">
        <f>J689+J694+J699+J693</f>
        <v>3104</v>
      </c>
      <c r="K670" s="275">
        <f>K689+K694+K699+K693+K696</f>
        <v>-103</v>
      </c>
      <c r="L670" s="275">
        <f>L689+L694+L699+L693+L696</f>
        <v>3391</v>
      </c>
      <c r="M670" s="275">
        <f>M689+M694+M699+M693+M696</f>
        <v>3391</v>
      </c>
      <c r="N670" s="275">
        <f t="shared" ref="N670:R670" si="1124">N689+N694+N699+N693+N696</f>
        <v>322</v>
      </c>
      <c r="O670" s="275">
        <f t="shared" si="1124"/>
        <v>3713</v>
      </c>
      <c r="P670" s="275">
        <f t="shared" si="1124"/>
        <v>3713</v>
      </c>
      <c r="Q670" s="275">
        <f t="shared" si="1124"/>
        <v>0</v>
      </c>
      <c r="R670" s="275">
        <f t="shared" si="1124"/>
        <v>3713</v>
      </c>
      <c r="S670" s="275">
        <f t="shared" ref="S670:T670" si="1125">S689+S694+S699+S693+S696</f>
        <v>2847.2</v>
      </c>
      <c r="T670" s="275">
        <f t="shared" si="1125"/>
        <v>6752.2</v>
      </c>
      <c r="U670" s="275">
        <f t="shared" ref="U670" si="1126">U689+U694+U699+U693+U696</f>
        <v>-343.2</v>
      </c>
      <c r="V670" s="275">
        <f>V689+V694+V699+V693+V696</f>
        <v>5602.7</v>
      </c>
      <c r="W670" s="275">
        <f t="shared" ref="W670:X670" si="1127">W689+W694+W699+W693+W696</f>
        <v>1018.3</v>
      </c>
      <c r="X670" s="275">
        <f t="shared" si="1127"/>
        <v>6981</v>
      </c>
      <c r="Y670" s="275">
        <f t="shared" ref="Y670:Z670" si="1128">Y689+Y694+Y699+Y693+Y696</f>
        <v>-6981</v>
      </c>
      <c r="Z670" s="275">
        <f t="shared" si="1128"/>
        <v>0</v>
      </c>
    </row>
    <row r="671" spans="1:26" ht="36.75" hidden="1" customHeight="1" x14ac:dyDescent="0.2">
      <c r="A671" s="259" t="s">
        <v>981</v>
      </c>
      <c r="B671" s="271">
        <v>801</v>
      </c>
      <c r="C671" s="252" t="s">
        <v>194</v>
      </c>
      <c r="D671" s="252" t="s">
        <v>212</v>
      </c>
      <c r="E671" s="252" t="s">
        <v>488</v>
      </c>
      <c r="F671" s="252"/>
      <c r="G671" s="257"/>
      <c r="H671" s="257"/>
      <c r="I671" s="257">
        <f>I672+I673+I674</f>
        <v>-120</v>
      </c>
      <c r="J671" s="257" t="e">
        <f>J672+J673+J674</f>
        <v>#REF!</v>
      </c>
      <c r="K671" s="257">
        <f>K672+K673+K674</f>
        <v>-120</v>
      </c>
      <c r="L671" s="257" t="e">
        <f>L672+L673+L674</f>
        <v>#REF!</v>
      </c>
      <c r="M671" s="257" t="e">
        <f>M672+M673+M674</f>
        <v>#REF!</v>
      </c>
      <c r="N671" s="257" t="e">
        <f t="shared" ref="N671:R671" si="1129">N672+N673+N674</f>
        <v>#REF!</v>
      </c>
      <c r="O671" s="257" t="e">
        <f t="shared" si="1129"/>
        <v>#REF!</v>
      </c>
      <c r="P671" s="257" t="e">
        <f t="shared" si="1129"/>
        <v>#REF!</v>
      </c>
      <c r="Q671" s="257" t="e">
        <f t="shared" si="1129"/>
        <v>#REF!</v>
      </c>
      <c r="R671" s="257" t="e">
        <f t="shared" si="1129"/>
        <v>#REF!</v>
      </c>
      <c r="S671" s="257" t="e">
        <f t="shared" ref="S671:T671" si="1130">S672+S673+S674</f>
        <v>#REF!</v>
      </c>
      <c r="T671" s="257" t="e">
        <f t="shared" si="1130"/>
        <v>#REF!</v>
      </c>
      <c r="U671" s="257" t="e">
        <f t="shared" ref="U671:V671" si="1131">U672+U673+U674</f>
        <v>#REF!</v>
      </c>
      <c r="V671" s="257" t="e">
        <f t="shared" si="1131"/>
        <v>#REF!</v>
      </c>
      <c r="W671" s="257" t="e">
        <f t="shared" ref="W671:X671" si="1132">W672+W673+W674</f>
        <v>#REF!</v>
      </c>
      <c r="X671" s="257" t="e">
        <f t="shared" si="1132"/>
        <v>#REF!</v>
      </c>
      <c r="Y671" s="257" t="e">
        <f t="shared" ref="Y671:Z671" si="1133">Y672+Y673+Y674</f>
        <v>#REF!</v>
      </c>
      <c r="Z671" s="257" t="e">
        <f t="shared" si="1133"/>
        <v>#REF!</v>
      </c>
    </row>
    <row r="672" spans="1:26" ht="27" hidden="1" customHeight="1" x14ac:dyDescent="0.2">
      <c r="A672" s="259" t="s">
        <v>513</v>
      </c>
      <c r="B672" s="271">
        <v>801</v>
      </c>
      <c r="C672" s="252" t="s">
        <v>194</v>
      </c>
      <c r="D672" s="252" t="s">
        <v>212</v>
      </c>
      <c r="E672" s="252" t="s">
        <v>524</v>
      </c>
      <c r="F672" s="252" t="s">
        <v>94</v>
      </c>
      <c r="G672" s="257"/>
      <c r="H672" s="257"/>
      <c r="I672" s="257">
        <v>-10</v>
      </c>
      <c r="J672" s="257" t="e">
        <f>#REF!+I672</f>
        <v>#REF!</v>
      </c>
      <c r="K672" s="257">
        <v>-10</v>
      </c>
      <c r="L672" s="257" t="e">
        <f>#REF!+J672</f>
        <v>#REF!</v>
      </c>
      <c r="M672" s="257" t="e">
        <f>#REF!+K672</f>
        <v>#REF!</v>
      </c>
      <c r="N672" s="257" t="e">
        <f>#REF!+L672</f>
        <v>#REF!</v>
      </c>
      <c r="O672" s="257" t="e">
        <f>#REF!+M672</f>
        <v>#REF!</v>
      </c>
      <c r="P672" s="257" t="e">
        <f>#REF!+N672</f>
        <v>#REF!</v>
      </c>
      <c r="Q672" s="257" t="e">
        <f>#REF!+O672</f>
        <v>#REF!</v>
      </c>
      <c r="R672" s="257" t="e">
        <f>#REF!+P672</f>
        <v>#REF!</v>
      </c>
      <c r="S672" s="257" t="e">
        <f>#REF!+Q672</f>
        <v>#REF!</v>
      </c>
      <c r="T672" s="257" t="e">
        <f>#REF!+R672</f>
        <v>#REF!</v>
      </c>
      <c r="U672" s="257" t="e">
        <f>#REF!+S672</f>
        <v>#REF!</v>
      </c>
      <c r="V672" s="257" t="e">
        <f>#REF!+T672</f>
        <v>#REF!</v>
      </c>
      <c r="W672" s="257" t="e">
        <f>#REF!+U672</f>
        <v>#REF!</v>
      </c>
      <c r="X672" s="257" t="e">
        <f>#REF!+V672</f>
        <v>#REF!</v>
      </c>
      <c r="Y672" s="257" t="e">
        <f>#REF!+W672</f>
        <v>#REF!</v>
      </c>
      <c r="Z672" s="257" t="e">
        <f>#REF!+X672</f>
        <v>#REF!</v>
      </c>
    </row>
    <row r="673" spans="1:26" ht="27.75" hidden="1" customHeight="1" x14ac:dyDescent="0.2">
      <c r="A673" s="259" t="s">
        <v>737</v>
      </c>
      <c r="B673" s="271">
        <v>801</v>
      </c>
      <c r="C673" s="252" t="s">
        <v>194</v>
      </c>
      <c r="D673" s="252" t="s">
        <v>212</v>
      </c>
      <c r="E673" s="252" t="s">
        <v>525</v>
      </c>
      <c r="F673" s="252" t="s">
        <v>94</v>
      </c>
      <c r="G673" s="257"/>
      <c r="H673" s="257"/>
      <c r="I673" s="257">
        <v>-10</v>
      </c>
      <c r="J673" s="257" t="e">
        <f>#REF!+I673</f>
        <v>#REF!</v>
      </c>
      <c r="K673" s="257">
        <v>-10</v>
      </c>
      <c r="L673" s="257" t="e">
        <f>#REF!+J673</f>
        <v>#REF!</v>
      </c>
      <c r="M673" s="257" t="e">
        <f>#REF!+K673</f>
        <v>#REF!</v>
      </c>
      <c r="N673" s="257" t="e">
        <f>#REF!+L673</f>
        <v>#REF!</v>
      </c>
      <c r="O673" s="257" t="e">
        <f>#REF!+M673</f>
        <v>#REF!</v>
      </c>
      <c r="P673" s="257" t="e">
        <f>#REF!+N673</f>
        <v>#REF!</v>
      </c>
      <c r="Q673" s="257" t="e">
        <f>#REF!+O673</f>
        <v>#REF!</v>
      </c>
      <c r="R673" s="257" t="e">
        <f>#REF!+P673</f>
        <v>#REF!</v>
      </c>
      <c r="S673" s="257" t="e">
        <f>#REF!+Q673</f>
        <v>#REF!</v>
      </c>
      <c r="T673" s="257" t="e">
        <f>#REF!+R673</f>
        <v>#REF!</v>
      </c>
      <c r="U673" s="257" t="e">
        <f>#REF!+S673</f>
        <v>#REF!</v>
      </c>
      <c r="V673" s="257" t="e">
        <f>#REF!+T673</f>
        <v>#REF!</v>
      </c>
      <c r="W673" s="257" t="e">
        <f>#REF!+U673</f>
        <v>#REF!</v>
      </c>
      <c r="X673" s="257" t="e">
        <f>#REF!+V673</f>
        <v>#REF!</v>
      </c>
      <c r="Y673" s="257" t="e">
        <f>#REF!+W673</f>
        <v>#REF!</v>
      </c>
      <c r="Z673" s="257" t="e">
        <f>#REF!+X673</f>
        <v>#REF!</v>
      </c>
    </row>
    <row r="674" spans="1:26" hidden="1" x14ac:dyDescent="0.2">
      <c r="A674" s="259" t="s">
        <v>514</v>
      </c>
      <c r="B674" s="271">
        <v>801</v>
      </c>
      <c r="C674" s="252" t="s">
        <v>194</v>
      </c>
      <c r="D674" s="252" t="s">
        <v>212</v>
      </c>
      <c r="E674" s="252" t="s">
        <v>528</v>
      </c>
      <c r="F674" s="252" t="s">
        <v>94</v>
      </c>
      <c r="G674" s="257"/>
      <c r="H674" s="257"/>
      <c r="I674" s="257">
        <v>-100</v>
      </c>
      <c r="J674" s="257" t="e">
        <f>#REF!+I674</f>
        <v>#REF!</v>
      </c>
      <c r="K674" s="257">
        <v>-100</v>
      </c>
      <c r="L674" s="257" t="e">
        <f>#REF!+J674</f>
        <v>#REF!</v>
      </c>
      <c r="M674" s="257" t="e">
        <f>#REF!+K674</f>
        <v>#REF!</v>
      </c>
      <c r="N674" s="257" t="e">
        <f>#REF!+L674</f>
        <v>#REF!</v>
      </c>
      <c r="O674" s="257" t="e">
        <f>#REF!+M674</f>
        <v>#REF!</v>
      </c>
      <c r="P674" s="257" t="e">
        <f>#REF!+N674</f>
        <v>#REF!</v>
      </c>
      <c r="Q674" s="257" t="e">
        <f>#REF!+O674</f>
        <v>#REF!</v>
      </c>
      <c r="R674" s="257" t="e">
        <f>#REF!+P674</f>
        <v>#REF!</v>
      </c>
      <c r="S674" s="257" t="e">
        <f>#REF!+Q674</f>
        <v>#REF!</v>
      </c>
      <c r="T674" s="257" t="e">
        <f>#REF!+R674</f>
        <v>#REF!</v>
      </c>
      <c r="U674" s="257" t="e">
        <f>#REF!+S674</f>
        <v>#REF!</v>
      </c>
      <c r="V674" s="257" t="e">
        <f>#REF!+T674</f>
        <v>#REF!</v>
      </c>
      <c r="W674" s="257" t="e">
        <f>#REF!+U674</f>
        <v>#REF!</v>
      </c>
      <c r="X674" s="257" t="e">
        <f>#REF!+V674</f>
        <v>#REF!</v>
      </c>
      <c r="Y674" s="257" t="e">
        <f>#REF!+W674</f>
        <v>#REF!</v>
      </c>
      <c r="Z674" s="257" t="e">
        <f>#REF!+X674</f>
        <v>#REF!</v>
      </c>
    </row>
    <row r="675" spans="1:26" hidden="1" x14ac:dyDescent="0.2">
      <c r="A675" s="259" t="s">
        <v>404</v>
      </c>
      <c r="B675" s="271">
        <v>801</v>
      </c>
      <c r="C675" s="252" t="s">
        <v>194</v>
      </c>
      <c r="D675" s="252" t="s">
        <v>212</v>
      </c>
      <c r="E675" s="252" t="s">
        <v>62</v>
      </c>
      <c r="F675" s="252"/>
      <c r="G675" s="257"/>
      <c r="H675" s="257"/>
      <c r="I675" s="257">
        <f>I676+I679+I683+I685+I681</f>
        <v>-120</v>
      </c>
      <c r="J675" s="257">
        <f>J676+J679+J683+J685+J681</f>
        <v>-120</v>
      </c>
      <c r="K675" s="257">
        <f>K676+K679+K683+K685+K681</f>
        <v>-120</v>
      </c>
      <c r="L675" s="257">
        <f>L676+L679+L683+L685+L681</f>
        <v>-120</v>
      </c>
      <c r="M675" s="257">
        <f>M676+M679+M683+M685+M681</f>
        <v>-240</v>
      </c>
      <c r="N675" s="257">
        <f t="shared" ref="N675:R675" si="1134">N676+N679+N683+N685+N681</f>
        <v>-240</v>
      </c>
      <c r="O675" s="257">
        <f t="shared" si="1134"/>
        <v>-360</v>
      </c>
      <c r="P675" s="257">
        <f t="shared" si="1134"/>
        <v>-360</v>
      </c>
      <c r="Q675" s="257">
        <f t="shared" si="1134"/>
        <v>-600</v>
      </c>
      <c r="R675" s="257">
        <f t="shared" si="1134"/>
        <v>-600</v>
      </c>
      <c r="S675" s="257">
        <f t="shared" ref="S675:T675" si="1135">S676+S679+S683+S685+S681</f>
        <v>-960</v>
      </c>
      <c r="T675" s="257">
        <f t="shared" si="1135"/>
        <v>-960</v>
      </c>
      <c r="U675" s="257">
        <f t="shared" ref="U675:V675" si="1136">U676+U679+U683+U685+U681</f>
        <v>-1560</v>
      </c>
      <c r="V675" s="257">
        <f t="shared" si="1136"/>
        <v>-1560</v>
      </c>
      <c r="W675" s="257">
        <f t="shared" ref="W675:X675" si="1137">W676+W679+W683+W685+W681</f>
        <v>-2520</v>
      </c>
      <c r="X675" s="257">
        <f t="shared" si="1137"/>
        <v>-2520</v>
      </c>
      <c r="Y675" s="257">
        <f t="shared" ref="Y675:Z675" si="1138">Y676+Y679+Y683+Y685+Y681</f>
        <v>-4080</v>
      </c>
      <c r="Z675" s="257">
        <f t="shared" si="1138"/>
        <v>-4080</v>
      </c>
    </row>
    <row r="676" spans="1:26" ht="30" hidden="1" x14ac:dyDescent="0.2">
      <c r="A676" s="259" t="s">
        <v>376</v>
      </c>
      <c r="B676" s="249">
        <v>801</v>
      </c>
      <c r="C676" s="252" t="s">
        <v>194</v>
      </c>
      <c r="D676" s="252" t="s">
        <v>212</v>
      </c>
      <c r="E676" s="252" t="s">
        <v>177</v>
      </c>
      <c r="F676" s="252"/>
      <c r="G676" s="257"/>
      <c r="H676" s="257"/>
      <c r="I676" s="257"/>
      <c r="J676" s="257">
        <f>J678+J677</f>
        <v>0</v>
      </c>
      <c r="K676" s="257"/>
      <c r="L676" s="257">
        <f>L678+L677</f>
        <v>0</v>
      </c>
      <c r="M676" s="257">
        <f>M678+M677</f>
        <v>0</v>
      </c>
      <c r="N676" s="257">
        <f t="shared" ref="N676:R676" si="1139">N678+N677</f>
        <v>0</v>
      </c>
      <c r="O676" s="257">
        <f t="shared" si="1139"/>
        <v>0</v>
      </c>
      <c r="P676" s="257">
        <f t="shared" si="1139"/>
        <v>0</v>
      </c>
      <c r="Q676" s="257">
        <f t="shared" si="1139"/>
        <v>0</v>
      </c>
      <c r="R676" s="257">
        <f t="shared" si="1139"/>
        <v>0</v>
      </c>
      <c r="S676" s="257">
        <f t="shared" ref="S676:T676" si="1140">S678+S677</f>
        <v>0</v>
      </c>
      <c r="T676" s="257">
        <f t="shared" si="1140"/>
        <v>0</v>
      </c>
      <c r="U676" s="257">
        <f t="shared" ref="U676:V676" si="1141">U678+U677</f>
        <v>0</v>
      </c>
      <c r="V676" s="257">
        <f t="shared" si="1141"/>
        <v>0</v>
      </c>
      <c r="W676" s="257">
        <f t="shared" ref="W676:X676" si="1142">W678+W677</f>
        <v>0</v>
      </c>
      <c r="X676" s="257">
        <f t="shared" si="1142"/>
        <v>0</v>
      </c>
      <c r="Y676" s="257">
        <f t="shared" ref="Y676:Z676" si="1143">Y678+Y677</f>
        <v>0</v>
      </c>
      <c r="Z676" s="257">
        <f t="shared" si="1143"/>
        <v>0</v>
      </c>
    </row>
    <row r="677" spans="1:26" hidden="1" x14ac:dyDescent="0.2">
      <c r="A677" s="259" t="s">
        <v>93</v>
      </c>
      <c r="B677" s="271">
        <v>801</v>
      </c>
      <c r="C677" s="252" t="s">
        <v>194</v>
      </c>
      <c r="D677" s="252" t="s">
        <v>212</v>
      </c>
      <c r="E677" s="252" t="s">
        <v>177</v>
      </c>
      <c r="F677" s="252" t="s">
        <v>94</v>
      </c>
      <c r="G677" s="257"/>
      <c r="H677" s="257"/>
      <c r="I677" s="257"/>
      <c r="J677" s="257">
        <f>G677+I677</f>
        <v>0</v>
      </c>
      <c r="K677" s="257"/>
      <c r="L677" s="257">
        <f>H677+J677</f>
        <v>0</v>
      </c>
      <c r="M677" s="257">
        <f>I677+K677</f>
        <v>0</v>
      </c>
      <c r="N677" s="257">
        <f t="shared" ref="N677:O678" si="1144">J677+L677</f>
        <v>0</v>
      </c>
      <c r="O677" s="257">
        <f t="shared" si="1144"/>
        <v>0</v>
      </c>
      <c r="P677" s="257">
        <f>L677+N677</f>
        <v>0</v>
      </c>
      <c r="Q677" s="257">
        <f t="shared" ref="Q677:R678" si="1145">M677+O677</f>
        <v>0</v>
      </c>
      <c r="R677" s="257">
        <f t="shared" si="1145"/>
        <v>0</v>
      </c>
      <c r="S677" s="257">
        <f t="shared" ref="S677:S678" si="1146">O677+Q677</f>
        <v>0</v>
      </c>
      <c r="T677" s="257">
        <f t="shared" ref="T677:T678" si="1147">P677+R677</f>
        <v>0</v>
      </c>
      <c r="U677" s="257">
        <f t="shared" ref="U677:U678" si="1148">Q677+S677</f>
        <v>0</v>
      </c>
      <c r="V677" s="257">
        <f t="shared" ref="V677:V678" si="1149">R677+T677</f>
        <v>0</v>
      </c>
      <c r="W677" s="257">
        <f t="shared" ref="W677:W678" si="1150">S677+U677</f>
        <v>0</v>
      </c>
      <c r="X677" s="257">
        <f t="shared" ref="X677:X678" si="1151">T677+V677</f>
        <v>0</v>
      </c>
      <c r="Y677" s="257">
        <f t="shared" ref="Y677:Y678" si="1152">U677+W677</f>
        <v>0</v>
      </c>
      <c r="Z677" s="257">
        <f t="shared" ref="Z677:Z678" si="1153">V677+X677</f>
        <v>0</v>
      </c>
    </row>
    <row r="678" spans="1:26" ht="12.75" hidden="1" customHeight="1" x14ac:dyDescent="0.2">
      <c r="A678" s="259" t="s">
        <v>93</v>
      </c>
      <c r="B678" s="271">
        <v>801</v>
      </c>
      <c r="C678" s="252" t="s">
        <v>194</v>
      </c>
      <c r="D678" s="252" t="s">
        <v>212</v>
      </c>
      <c r="E678" s="252" t="s">
        <v>177</v>
      </c>
      <c r="F678" s="252" t="s">
        <v>64</v>
      </c>
      <c r="G678" s="257"/>
      <c r="H678" s="257"/>
      <c r="I678" s="257"/>
      <c r="J678" s="257">
        <f>G678+I678</f>
        <v>0</v>
      </c>
      <c r="K678" s="257"/>
      <c r="L678" s="257">
        <f>H678+J678</f>
        <v>0</v>
      </c>
      <c r="M678" s="257">
        <f>I678+K678</f>
        <v>0</v>
      </c>
      <c r="N678" s="257">
        <f t="shared" si="1144"/>
        <v>0</v>
      </c>
      <c r="O678" s="257">
        <f t="shared" si="1144"/>
        <v>0</v>
      </c>
      <c r="P678" s="257">
        <f>L678+N678</f>
        <v>0</v>
      </c>
      <c r="Q678" s="257">
        <f t="shared" si="1145"/>
        <v>0</v>
      </c>
      <c r="R678" s="257">
        <f t="shared" si="1145"/>
        <v>0</v>
      </c>
      <c r="S678" s="257">
        <f t="shared" si="1146"/>
        <v>0</v>
      </c>
      <c r="T678" s="257">
        <f t="shared" si="1147"/>
        <v>0</v>
      </c>
      <c r="U678" s="257">
        <f t="shared" si="1148"/>
        <v>0</v>
      </c>
      <c r="V678" s="257">
        <f t="shared" si="1149"/>
        <v>0</v>
      </c>
      <c r="W678" s="257">
        <f t="shared" si="1150"/>
        <v>0</v>
      </c>
      <c r="X678" s="257">
        <f t="shared" si="1151"/>
        <v>0</v>
      </c>
      <c r="Y678" s="257">
        <f t="shared" si="1152"/>
        <v>0</v>
      </c>
      <c r="Z678" s="257">
        <f t="shared" si="1153"/>
        <v>0</v>
      </c>
    </row>
    <row r="679" spans="1:26" ht="38.25" hidden="1" customHeight="1" x14ac:dyDescent="0.2">
      <c r="A679" s="259" t="s">
        <v>377</v>
      </c>
      <c r="B679" s="271">
        <v>801</v>
      </c>
      <c r="C679" s="252" t="s">
        <v>194</v>
      </c>
      <c r="D679" s="252" t="s">
        <v>212</v>
      </c>
      <c r="E679" s="252" t="s">
        <v>133</v>
      </c>
      <c r="F679" s="252"/>
      <c r="G679" s="257"/>
      <c r="H679" s="257"/>
      <c r="I679" s="257"/>
      <c r="J679" s="257">
        <f>J680</f>
        <v>0</v>
      </c>
      <c r="K679" s="257"/>
      <c r="L679" s="257">
        <f>L680</f>
        <v>0</v>
      </c>
      <c r="M679" s="257">
        <f>M680</f>
        <v>0</v>
      </c>
      <c r="N679" s="257">
        <f t="shared" ref="N679:Z679" si="1154">N680</f>
        <v>0</v>
      </c>
      <c r="O679" s="257">
        <f t="shared" si="1154"/>
        <v>0</v>
      </c>
      <c r="P679" s="257">
        <f t="shared" si="1154"/>
        <v>0</v>
      </c>
      <c r="Q679" s="257">
        <f t="shared" si="1154"/>
        <v>0</v>
      </c>
      <c r="R679" s="257">
        <f t="shared" si="1154"/>
        <v>0</v>
      </c>
      <c r="S679" s="257">
        <f t="shared" si="1154"/>
        <v>0</v>
      </c>
      <c r="T679" s="257">
        <f t="shared" si="1154"/>
        <v>0</v>
      </c>
      <c r="U679" s="257">
        <f t="shared" si="1154"/>
        <v>0</v>
      </c>
      <c r="V679" s="257">
        <f t="shared" si="1154"/>
        <v>0</v>
      </c>
      <c r="W679" s="257">
        <f t="shared" si="1154"/>
        <v>0</v>
      </c>
      <c r="X679" s="257">
        <f t="shared" si="1154"/>
        <v>0</v>
      </c>
      <c r="Y679" s="257">
        <f t="shared" si="1154"/>
        <v>0</v>
      </c>
      <c r="Z679" s="257">
        <f t="shared" si="1154"/>
        <v>0</v>
      </c>
    </row>
    <row r="680" spans="1:26" ht="24.75" hidden="1" customHeight="1" x14ac:dyDescent="0.2">
      <c r="A680" s="259" t="s">
        <v>93</v>
      </c>
      <c r="B680" s="271">
        <v>801</v>
      </c>
      <c r="C680" s="252" t="s">
        <v>194</v>
      </c>
      <c r="D680" s="252" t="s">
        <v>212</v>
      </c>
      <c r="E680" s="252" t="s">
        <v>133</v>
      </c>
      <c r="F680" s="252" t="s">
        <v>94</v>
      </c>
      <c r="G680" s="257"/>
      <c r="H680" s="257"/>
      <c r="I680" s="257"/>
      <c r="J680" s="257">
        <f>G680+I680</f>
        <v>0</v>
      </c>
      <c r="K680" s="257"/>
      <c r="L680" s="257">
        <f>H680+J680</f>
        <v>0</v>
      </c>
      <c r="M680" s="257">
        <f>I680+K680</f>
        <v>0</v>
      </c>
      <c r="N680" s="257">
        <f t="shared" ref="N680:O680" si="1155">J680+L680</f>
        <v>0</v>
      </c>
      <c r="O680" s="257">
        <f t="shared" si="1155"/>
        <v>0</v>
      </c>
      <c r="P680" s="257">
        <f>L680+N680</f>
        <v>0</v>
      </c>
      <c r="Q680" s="257">
        <f t="shared" ref="Q680:R680" si="1156">M680+O680</f>
        <v>0</v>
      </c>
      <c r="R680" s="257">
        <f t="shared" si="1156"/>
        <v>0</v>
      </c>
      <c r="S680" s="257">
        <f t="shared" ref="S680" si="1157">O680+Q680</f>
        <v>0</v>
      </c>
      <c r="T680" s="257">
        <f t="shared" ref="T680" si="1158">P680+R680</f>
        <v>0</v>
      </c>
      <c r="U680" s="257">
        <f t="shared" ref="U680" si="1159">Q680+S680</f>
        <v>0</v>
      </c>
      <c r="V680" s="257">
        <f t="shared" ref="V680" si="1160">R680+T680</f>
        <v>0</v>
      </c>
      <c r="W680" s="257">
        <f t="shared" ref="W680" si="1161">S680+U680</f>
        <v>0</v>
      </c>
      <c r="X680" s="257">
        <f t="shared" ref="X680" si="1162">T680+V680</f>
        <v>0</v>
      </c>
      <c r="Y680" s="257">
        <f t="shared" ref="Y680" si="1163">U680+W680</f>
        <v>0</v>
      </c>
      <c r="Z680" s="257">
        <f t="shared" ref="Z680" si="1164">V680+X680</f>
        <v>0</v>
      </c>
    </row>
    <row r="681" spans="1:26" ht="16.5" hidden="1" customHeight="1" x14ac:dyDescent="0.2">
      <c r="A681" s="259" t="s">
        <v>1002</v>
      </c>
      <c r="B681" s="271">
        <v>801</v>
      </c>
      <c r="C681" s="252" t="s">
        <v>194</v>
      </c>
      <c r="D681" s="252" t="s">
        <v>212</v>
      </c>
      <c r="E681" s="252" t="s">
        <v>548</v>
      </c>
      <c r="F681" s="252"/>
      <c r="G681" s="257"/>
      <c r="H681" s="257"/>
      <c r="I681" s="257">
        <f>I682</f>
        <v>-100</v>
      </c>
      <c r="J681" s="257">
        <f>J682</f>
        <v>-100</v>
      </c>
      <c r="K681" s="257">
        <f>K682</f>
        <v>-100</v>
      </c>
      <c r="L681" s="257">
        <f>L682</f>
        <v>-100</v>
      </c>
      <c r="M681" s="257">
        <f>M682</f>
        <v>-200</v>
      </c>
      <c r="N681" s="257">
        <f t="shared" ref="N681:Z681" si="1165">N682</f>
        <v>-200</v>
      </c>
      <c r="O681" s="257">
        <f t="shared" si="1165"/>
        <v>-300</v>
      </c>
      <c r="P681" s="257">
        <f t="shared" si="1165"/>
        <v>-300</v>
      </c>
      <c r="Q681" s="257">
        <f t="shared" si="1165"/>
        <v>-500</v>
      </c>
      <c r="R681" s="257">
        <f t="shared" si="1165"/>
        <v>-500</v>
      </c>
      <c r="S681" s="257">
        <f t="shared" si="1165"/>
        <v>-800</v>
      </c>
      <c r="T681" s="257">
        <f t="shared" si="1165"/>
        <v>-800</v>
      </c>
      <c r="U681" s="257">
        <f t="shared" si="1165"/>
        <v>-1300</v>
      </c>
      <c r="V681" s="257">
        <f t="shared" si="1165"/>
        <v>-1300</v>
      </c>
      <c r="W681" s="257">
        <f t="shared" si="1165"/>
        <v>-2100</v>
      </c>
      <c r="X681" s="257">
        <f t="shared" si="1165"/>
        <v>-2100</v>
      </c>
      <c r="Y681" s="257">
        <f t="shared" si="1165"/>
        <v>-3400</v>
      </c>
      <c r="Z681" s="257">
        <f t="shared" si="1165"/>
        <v>-3400</v>
      </c>
    </row>
    <row r="682" spans="1:26" ht="17.25" hidden="1" customHeight="1" x14ac:dyDescent="0.2">
      <c r="A682" s="259" t="s">
        <v>93</v>
      </c>
      <c r="B682" s="271">
        <v>801</v>
      </c>
      <c r="C682" s="252" t="s">
        <v>194</v>
      </c>
      <c r="D682" s="252" t="s">
        <v>212</v>
      </c>
      <c r="E682" s="252" t="s">
        <v>548</v>
      </c>
      <c r="F682" s="252" t="s">
        <v>94</v>
      </c>
      <c r="G682" s="257"/>
      <c r="H682" s="257"/>
      <c r="I682" s="257">
        <v>-100</v>
      </c>
      <c r="J682" s="257">
        <f>G682+I682</f>
        <v>-100</v>
      </c>
      <c r="K682" s="257">
        <v>-100</v>
      </c>
      <c r="L682" s="257">
        <f>H682+J682</f>
        <v>-100</v>
      </c>
      <c r="M682" s="257">
        <f>I682+K682</f>
        <v>-200</v>
      </c>
      <c r="N682" s="257">
        <f t="shared" ref="N682:O682" si="1166">J682+L682</f>
        <v>-200</v>
      </c>
      <c r="O682" s="257">
        <f t="shared" si="1166"/>
        <v>-300</v>
      </c>
      <c r="P682" s="257">
        <f>L682+N682</f>
        <v>-300</v>
      </c>
      <c r="Q682" s="257">
        <f t="shared" ref="Q682:R682" si="1167">M682+O682</f>
        <v>-500</v>
      </c>
      <c r="R682" s="257">
        <f t="shared" si="1167"/>
        <v>-500</v>
      </c>
      <c r="S682" s="257">
        <f t="shared" ref="S682" si="1168">O682+Q682</f>
        <v>-800</v>
      </c>
      <c r="T682" s="257">
        <f t="shared" ref="T682" si="1169">P682+R682</f>
        <v>-800</v>
      </c>
      <c r="U682" s="257">
        <f t="shared" ref="U682" si="1170">Q682+S682</f>
        <v>-1300</v>
      </c>
      <c r="V682" s="257">
        <f t="shared" ref="V682" si="1171">R682+T682</f>
        <v>-1300</v>
      </c>
      <c r="W682" s="257">
        <f t="shared" ref="W682" si="1172">S682+U682</f>
        <v>-2100</v>
      </c>
      <c r="X682" s="257">
        <f t="shared" ref="X682" si="1173">T682+V682</f>
        <v>-2100</v>
      </c>
      <c r="Y682" s="257">
        <f t="shared" ref="Y682" si="1174">U682+W682</f>
        <v>-3400</v>
      </c>
      <c r="Z682" s="257">
        <f t="shared" ref="Z682" si="1175">V682+X682</f>
        <v>-3400</v>
      </c>
    </row>
    <row r="683" spans="1:26" ht="31.5" hidden="1" customHeight="1" x14ac:dyDescent="0.2">
      <c r="A683" s="259" t="s">
        <v>425</v>
      </c>
      <c r="B683" s="271">
        <v>801</v>
      </c>
      <c r="C683" s="252" t="s">
        <v>194</v>
      </c>
      <c r="D683" s="252" t="s">
        <v>212</v>
      </c>
      <c r="E683" s="252" t="s">
        <v>548</v>
      </c>
      <c r="F683" s="252"/>
      <c r="G683" s="257"/>
      <c r="H683" s="257"/>
      <c r="I683" s="257">
        <f>I684</f>
        <v>-10</v>
      </c>
      <c r="J683" s="257">
        <f>J685</f>
        <v>-10</v>
      </c>
      <c r="K683" s="257">
        <f>K684</f>
        <v>-10</v>
      </c>
      <c r="L683" s="257">
        <f>L685</f>
        <v>-10</v>
      </c>
      <c r="M683" s="257">
        <f>M685</f>
        <v>-20</v>
      </c>
      <c r="N683" s="257">
        <f t="shared" ref="N683:R683" si="1176">N685</f>
        <v>-20</v>
      </c>
      <c r="O683" s="257">
        <f t="shared" si="1176"/>
        <v>-30</v>
      </c>
      <c r="P683" s="257">
        <f t="shared" si="1176"/>
        <v>-30</v>
      </c>
      <c r="Q683" s="257">
        <f t="shared" si="1176"/>
        <v>-50</v>
      </c>
      <c r="R683" s="257">
        <f t="shared" si="1176"/>
        <v>-50</v>
      </c>
      <c r="S683" s="257">
        <f t="shared" ref="S683:T683" si="1177">S685</f>
        <v>-80</v>
      </c>
      <c r="T683" s="257">
        <f t="shared" si="1177"/>
        <v>-80</v>
      </c>
      <c r="U683" s="257">
        <f t="shared" ref="U683:V683" si="1178">U685</f>
        <v>-130</v>
      </c>
      <c r="V683" s="257">
        <f t="shared" si="1178"/>
        <v>-130</v>
      </c>
      <c r="W683" s="257">
        <f t="shared" ref="W683:X683" si="1179">W685</f>
        <v>-210</v>
      </c>
      <c r="X683" s="257">
        <f t="shared" si="1179"/>
        <v>-210</v>
      </c>
      <c r="Y683" s="257">
        <f t="shared" ref="Y683:Z683" si="1180">Y685</f>
        <v>-340</v>
      </c>
      <c r="Z683" s="257">
        <f t="shared" si="1180"/>
        <v>-340</v>
      </c>
    </row>
    <row r="684" spans="1:26" ht="18" hidden="1" customHeight="1" x14ac:dyDescent="0.2">
      <c r="A684" s="259" t="s">
        <v>93</v>
      </c>
      <c r="B684" s="271">
        <v>801</v>
      </c>
      <c r="C684" s="252" t="s">
        <v>194</v>
      </c>
      <c r="D684" s="252" t="s">
        <v>212</v>
      </c>
      <c r="E684" s="252" t="s">
        <v>548</v>
      </c>
      <c r="F684" s="252" t="s">
        <v>94</v>
      </c>
      <c r="G684" s="257"/>
      <c r="H684" s="257"/>
      <c r="I684" s="257">
        <v>-10</v>
      </c>
      <c r="J684" s="257">
        <f>G684+I684</f>
        <v>-10</v>
      </c>
      <c r="K684" s="257">
        <v>-10</v>
      </c>
      <c r="L684" s="257">
        <f>H684+J684</f>
        <v>-10</v>
      </c>
      <c r="M684" s="257">
        <f>I684+K684</f>
        <v>-20</v>
      </c>
      <c r="N684" s="257">
        <f t="shared" ref="N684:O684" si="1181">J684+L684</f>
        <v>-20</v>
      </c>
      <c r="O684" s="257">
        <f t="shared" si="1181"/>
        <v>-30</v>
      </c>
      <c r="P684" s="257">
        <f>L684+N684</f>
        <v>-30</v>
      </c>
      <c r="Q684" s="257">
        <f t="shared" ref="Q684:R684" si="1182">M684+O684</f>
        <v>-50</v>
      </c>
      <c r="R684" s="257">
        <f t="shared" si="1182"/>
        <v>-50</v>
      </c>
      <c r="S684" s="257">
        <f t="shared" ref="S684" si="1183">O684+Q684</f>
        <v>-80</v>
      </c>
      <c r="T684" s="257">
        <f t="shared" ref="T684" si="1184">P684+R684</f>
        <v>-80</v>
      </c>
      <c r="U684" s="257">
        <f t="shared" ref="U684" si="1185">Q684+S684</f>
        <v>-130</v>
      </c>
      <c r="V684" s="257">
        <f t="shared" ref="V684" si="1186">R684+T684</f>
        <v>-130</v>
      </c>
      <c r="W684" s="257">
        <f t="shared" ref="W684" si="1187">S684+U684</f>
        <v>-210</v>
      </c>
      <c r="X684" s="257">
        <f t="shared" ref="X684" si="1188">T684+V684</f>
        <v>-210</v>
      </c>
      <c r="Y684" s="257">
        <f t="shared" ref="Y684" si="1189">U684+W684</f>
        <v>-340</v>
      </c>
      <c r="Z684" s="257">
        <f t="shared" ref="Z684" si="1190">V684+X684</f>
        <v>-340</v>
      </c>
    </row>
    <row r="685" spans="1:26" ht="27.75" hidden="1" customHeight="1" x14ac:dyDescent="0.2">
      <c r="A685" s="259" t="s">
        <v>739</v>
      </c>
      <c r="B685" s="271">
        <v>801</v>
      </c>
      <c r="C685" s="252" t="s">
        <v>194</v>
      </c>
      <c r="D685" s="252" t="s">
        <v>212</v>
      </c>
      <c r="E685" s="252" t="s">
        <v>433</v>
      </c>
      <c r="F685" s="252"/>
      <c r="G685" s="257"/>
      <c r="H685" s="257"/>
      <c r="I685" s="257">
        <f>I686</f>
        <v>-10</v>
      </c>
      <c r="J685" s="257">
        <f>J686</f>
        <v>-10</v>
      </c>
      <c r="K685" s="257">
        <f>K686</f>
        <v>-10</v>
      </c>
      <c r="L685" s="257">
        <f>L686</f>
        <v>-10</v>
      </c>
      <c r="M685" s="257">
        <f>M686</f>
        <v>-20</v>
      </c>
      <c r="N685" s="257">
        <f t="shared" ref="N685:Z685" si="1191">N686</f>
        <v>-20</v>
      </c>
      <c r="O685" s="257">
        <f t="shared" si="1191"/>
        <v>-30</v>
      </c>
      <c r="P685" s="257">
        <f t="shared" si="1191"/>
        <v>-30</v>
      </c>
      <c r="Q685" s="257">
        <f t="shared" si="1191"/>
        <v>-50</v>
      </c>
      <c r="R685" s="257">
        <f t="shared" si="1191"/>
        <v>-50</v>
      </c>
      <c r="S685" s="257">
        <f t="shared" si="1191"/>
        <v>-80</v>
      </c>
      <c r="T685" s="257">
        <f t="shared" si="1191"/>
        <v>-80</v>
      </c>
      <c r="U685" s="257">
        <f t="shared" si="1191"/>
        <v>-130</v>
      </c>
      <c r="V685" s="257">
        <f t="shared" si="1191"/>
        <v>-130</v>
      </c>
      <c r="W685" s="257">
        <f t="shared" si="1191"/>
        <v>-210</v>
      </c>
      <c r="X685" s="257">
        <f t="shared" si="1191"/>
        <v>-210</v>
      </c>
      <c r="Y685" s="257">
        <f t="shared" si="1191"/>
        <v>-340</v>
      </c>
      <c r="Z685" s="257">
        <f t="shared" si="1191"/>
        <v>-340</v>
      </c>
    </row>
    <row r="686" spans="1:26" ht="18.75" hidden="1" customHeight="1" x14ac:dyDescent="0.2">
      <c r="A686" s="259" t="s">
        <v>93</v>
      </c>
      <c r="B686" s="271">
        <v>801</v>
      </c>
      <c r="C686" s="252" t="s">
        <v>194</v>
      </c>
      <c r="D686" s="252" t="s">
        <v>212</v>
      </c>
      <c r="E686" s="252" t="s">
        <v>433</v>
      </c>
      <c r="F686" s="252" t="s">
        <v>94</v>
      </c>
      <c r="G686" s="257"/>
      <c r="H686" s="257"/>
      <c r="I686" s="257">
        <v>-10</v>
      </c>
      <c r="J686" s="257">
        <f>G686+I686</f>
        <v>-10</v>
      </c>
      <c r="K686" s="257">
        <v>-10</v>
      </c>
      <c r="L686" s="257">
        <f>H686+J686</f>
        <v>-10</v>
      </c>
      <c r="M686" s="257">
        <f>I686+K686</f>
        <v>-20</v>
      </c>
      <c r="N686" s="257">
        <f t="shared" ref="N686:O686" si="1192">J686+L686</f>
        <v>-20</v>
      </c>
      <c r="O686" s="257">
        <f t="shared" si="1192"/>
        <v>-30</v>
      </c>
      <c r="P686" s="257">
        <f>L686+N686</f>
        <v>-30</v>
      </c>
      <c r="Q686" s="257">
        <f t="shared" ref="Q686:R686" si="1193">M686+O686</f>
        <v>-50</v>
      </c>
      <c r="R686" s="257">
        <f t="shared" si="1193"/>
        <v>-50</v>
      </c>
      <c r="S686" s="257">
        <f t="shared" ref="S686" si="1194">O686+Q686</f>
        <v>-80</v>
      </c>
      <c r="T686" s="257">
        <f t="shared" ref="T686" si="1195">P686+R686</f>
        <v>-80</v>
      </c>
      <c r="U686" s="257">
        <f t="shared" ref="U686" si="1196">Q686+S686</f>
        <v>-130</v>
      </c>
      <c r="V686" s="257">
        <f t="shared" ref="V686" si="1197">R686+T686</f>
        <v>-130</v>
      </c>
      <c r="W686" s="257">
        <f t="shared" ref="W686" si="1198">S686+U686</f>
        <v>-210</v>
      </c>
      <c r="X686" s="257">
        <f t="shared" ref="X686" si="1199">T686+V686</f>
        <v>-210</v>
      </c>
      <c r="Y686" s="257">
        <f t="shared" ref="Y686" si="1200">U686+W686</f>
        <v>-340</v>
      </c>
      <c r="Z686" s="257">
        <f t="shared" ref="Z686" si="1201">V686+X686</f>
        <v>-340</v>
      </c>
    </row>
    <row r="687" spans="1:26" ht="18.75" hidden="1" customHeight="1" x14ac:dyDescent="0.2">
      <c r="A687" s="259" t="s">
        <v>466</v>
      </c>
      <c r="B687" s="271">
        <v>801</v>
      </c>
      <c r="C687" s="252" t="s">
        <v>194</v>
      </c>
      <c r="D687" s="252" t="s">
        <v>212</v>
      </c>
      <c r="E687" s="252" t="s">
        <v>804</v>
      </c>
      <c r="F687" s="252"/>
      <c r="G687" s="257"/>
      <c r="H687" s="257"/>
      <c r="I687" s="257">
        <f>I688</f>
        <v>0</v>
      </c>
      <c r="J687" s="257" t="e">
        <f>J688</f>
        <v>#REF!</v>
      </c>
      <c r="K687" s="257">
        <f>K688</f>
        <v>0</v>
      </c>
      <c r="L687" s="257" t="e">
        <f>L688</f>
        <v>#REF!</v>
      </c>
      <c r="M687" s="257" t="e">
        <f>M688</f>
        <v>#REF!</v>
      </c>
      <c r="N687" s="257" t="e">
        <f t="shared" ref="N687:Z687" si="1202">N688</f>
        <v>#REF!</v>
      </c>
      <c r="O687" s="257" t="e">
        <f t="shared" si="1202"/>
        <v>#REF!</v>
      </c>
      <c r="P687" s="257" t="e">
        <f t="shared" si="1202"/>
        <v>#REF!</v>
      </c>
      <c r="Q687" s="257" t="e">
        <f t="shared" si="1202"/>
        <v>#REF!</v>
      </c>
      <c r="R687" s="257" t="e">
        <f t="shared" si="1202"/>
        <v>#REF!</v>
      </c>
      <c r="S687" s="257" t="e">
        <f t="shared" si="1202"/>
        <v>#REF!</v>
      </c>
      <c r="T687" s="257" t="e">
        <f t="shared" si="1202"/>
        <v>#REF!</v>
      </c>
      <c r="U687" s="257" t="e">
        <f t="shared" si="1202"/>
        <v>#REF!</v>
      </c>
      <c r="V687" s="257" t="e">
        <f t="shared" si="1202"/>
        <v>#REF!</v>
      </c>
      <c r="W687" s="257" t="e">
        <f t="shared" si="1202"/>
        <v>#REF!</v>
      </c>
      <c r="X687" s="257" t="e">
        <f t="shared" si="1202"/>
        <v>#REF!</v>
      </c>
      <c r="Y687" s="257" t="e">
        <f t="shared" si="1202"/>
        <v>#REF!</v>
      </c>
      <c r="Z687" s="257" t="e">
        <f t="shared" si="1202"/>
        <v>#REF!</v>
      </c>
    </row>
    <row r="688" spans="1:26" ht="18.75" hidden="1" customHeight="1" x14ac:dyDescent="0.2">
      <c r="A688" s="259" t="s">
        <v>318</v>
      </c>
      <c r="B688" s="271" t="s">
        <v>146</v>
      </c>
      <c r="C688" s="252" t="s">
        <v>194</v>
      </c>
      <c r="D688" s="252" t="s">
        <v>212</v>
      </c>
      <c r="E688" s="252" t="s">
        <v>804</v>
      </c>
      <c r="F688" s="252" t="s">
        <v>319</v>
      </c>
      <c r="G688" s="257"/>
      <c r="H688" s="257"/>
      <c r="I688" s="257">
        <v>0</v>
      </c>
      <c r="J688" s="257" t="e">
        <f>#REF!+I688</f>
        <v>#REF!</v>
      </c>
      <c r="K688" s="257">
        <v>0</v>
      </c>
      <c r="L688" s="257" t="e">
        <f>#REF!+J688</f>
        <v>#REF!</v>
      </c>
      <c r="M688" s="257" t="e">
        <f>#REF!+K688</f>
        <v>#REF!</v>
      </c>
      <c r="N688" s="257" t="e">
        <f>#REF!+L688</f>
        <v>#REF!</v>
      </c>
      <c r="O688" s="257" t="e">
        <f>#REF!+M688</f>
        <v>#REF!</v>
      </c>
      <c r="P688" s="257" t="e">
        <f>#REF!+N688</f>
        <v>#REF!</v>
      </c>
      <c r="Q688" s="257" t="e">
        <f>#REF!+O688</f>
        <v>#REF!</v>
      </c>
      <c r="R688" s="257" t="e">
        <f>#REF!+P688</f>
        <v>#REF!</v>
      </c>
      <c r="S688" s="257" t="e">
        <f>#REF!+Q688</f>
        <v>#REF!</v>
      </c>
      <c r="T688" s="257" t="e">
        <f>#REF!+R688</f>
        <v>#REF!</v>
      </c>
      <c r="U688" s="257" t="e">
        <f>#REF!+S688</f>
        <v>#REF!</v>
      </c>
      <c r="V688" s="257" t="e">
        <f>#REF!+T688</f>
        <v>#REF!</v>
      </c>
      <c r="W688" s="257" t="e">
        <f>#REF!+U688</f>
        <v>#REF!</v>
      </c>
      <c r="X688" s="257" t="e">
        <f>#REF!+V688</f>
        <v>#REF!</v>
      </c>
      <c r="Y688" s="257" t="e">
        <f>#REF!+W688</f>
        <v>#REF!</v>
      </c>
      <c r="Z688" s="257" t="e">
        <f>#REF!+X688</f>
        <v>#REF!</v>
      </c>
    </row>
    <row r="689" spans="1:26" ht="30" customHeight="1" x14ac:dyDescent="0.2">
      <c r="A689" s="259" t="s">
        <v>981</v>
      </c>
      <c r="B689" s="271">
        <v>801</v>
      </c>
      <c r="C689" s="252" t="s">
        <v>194</v>
      </c>
      <c r="D689" s="252" t="s">
        <v>212</v>
      </c>
      <c r="E689" s="252" t="s">
        <v>803</v>
      </c>
      <c r="F689" s="252"/>
      <c r="G689" s="257">
        <f>G690+G691+G692</f>
        <v>0</v>
      </c>
      <c r="H689" s="257">
        <f>H690+H691+H692</f>
        <v>120</v>
      </c>
      <c r="I689" s="257">
        <f>I690+I691+I692</f>
        <v>0</v>
      </c>
      <c r="J689" s="257">
        <f t="shared" ref="J689:J695" si="1203">H689+I689</f>
        <v>120</v>
      </c>
      <c r="K689" s="257">
        <f>K690+K691+K692</f>
        <v>0</v>
      </c>
      <c r="L689" s="257">
        <f>L690+L691+L692</f>
        <v>70</v>
      </c>
      <c r="M689" s="257">
        <f>M690+M691+M692</f>
        <v>70</v>
      </c>
      <c r="N689" s="257">
        <f t="shared" ref="N689:R689" si="1204">N690+N691+N692</f>
        <v>0</v>
      </c>
      <c r="O689" s="257">
        <f t="shared" si="1204"/>
        <v>70</v>
      </c>
      <c r="P689" s="257">
        <f t="shared" si="1204"/>
        <v>70</v>
      </c>
      <c r="Q689" s="257">
        <f t="shared" si="1204"/>
        <v>0</v>
      </c>
      <c r="R689" s="257">
        <f t="shared" si="1204"/>
        <v>70</v>
      </c>
      <c r="S689" s="257">
        <f t="shared" ref="S689:T689" si="1205">S690+S691+S692</f>
        <v>0</v>
      </c>
      <c r="T689" s="257">
        <f t="shared" si="1205"/>
        <v>70</v>
      </c>
      <c r="U689" s="257">
        <f t="shared" ref="U689:V689" si="1206">U690+U691+U692</f>
        <v>0</v>
      </c>
      <c r="V689" s="257">
        <f t="shared" si="1206"/>
        <v>20</v>
      </c>
      <c r="W689" s="257">
        <f t="shared" ref="W689:X689" si="1207">W690+W691+W692</f>
        <v>50</v>
      </c>
      <c r="X689" s="257">
        <f t="shared" si="1207"/>
        <v>70</v>
      </c>
      <c r="Y689" s="257">
        <f t="shared" ref="Y689:Z689" si="1208">Y690+Y691+Y692</f>
        <v>-70</v>
      </c>
      <c r="Z689" s="257">
        <f t="shared" si="1208"/>
        <v>0</v>
      </c>
    </row>
    <row r="690" spans="1:26" ht="39.75" customHeight="1" x14ac:dyDescent="0.2">
      <c r="A690" s="259" t="s">
        <v>513</v>
      </c>
      <c r="B690" s="271">
        <v>801</v>
      </c>
      <c r="C690" s="252" t="s">
        <v>194</v>
      </c>
      <c r="D690" s="252" t="s">
        <v>212</v>
      </c>
      <c r="E690" s="252" t="s">
        <v>802</v>
      </c>
      <c r="F690" s="252" t="s">
        <v>94</v>
      </c>
      <c r="G690" s="257"/>
      <c r="H690" s="257">
        <v>10</v>
      </c>
      <c r="I690" s="257">
        <v>0</v>
      </c>
      <c r="J690" s="257">
        <f t="shared" si="1203"/>
        <v>10</v>
      </c>
      <c r="K690" s="257">
        <v>0</v>
      </c>
      <c r="L690" s="257">
        <v>10</v>
      </c>
      <c r="M690" s="257">
        <v>10</v>
      </c>
      <c r="N690" s="257">
        <v>0</v>
      </c>
      <c r="O690" s="257">
        <f>M690+N690</f>
        <v>10</v>
      </c>
      <c r="P690" s="257">
        <v>10</v>
      </c>
      <c r="Q690" s="257">
        <v>0</v>
      </c>
      <c r="R690" s="257">
        <f t="shared" ref="R690:R706" si="1209">P690+Q690</f>
        <v>10</v>
      </c>
      <c r="S690" s="257">
        <v>0</v>
      </c>
      <c r="T690" s="257">
        <f t="shared" ref="T690:T693" si="1210">R690+S690</f>
        <v>10</v>
      </c>
      <c r="U690" s="257">
        <v>0</v>
      </c>
      <c r="V690" s="257">
        <v>10</v>
      </c>
      <c r="W690" s="257">
        <v>0</v>
      </c>
      <c r="X690" s="257">
        <f t="shared" ref="X690:X693" si="1211">V690+W690</f>
        <v>10</v>
      </c>
      <c r="Y690" s="257">
        <v>-10</v>
      </c>
      <c r="Z690" s="257">
        <f t="shared" ref="Z690:Z693" si="1212">X690+Y690</f>
        <v>0</v>
      </c>
    </row>
    <row r="691" spans="1:26" ht="32.25" customHeight="1" x14ac:dyDescent="0.2">
      <c r="A691" s="259" t="s">
        <v>737</v>
      </c>
      <c r="B691" s="271">
        <v>801</v>
      </c>
      <c r="C691" s="252" t="s">
        <v>194</v>
      </c>
      <c r="D691" s="252" t="s">
        <v>212</v>
      </c>
      <c r="E691" s="252" t="s">
        <v>801</v>
      </c>
      <c r="F691" s="252" t="s">
        <v>94</v>
      </c>
      <c r="G691" s="257"/>
      <c r="H691" s="257">
        <v>10</v>
      </c>
      <c r="I691" s="257">
        <v>0</v>
      </c>
      <c r="J691" s="257">
        <f t="shared" si="1203"/>
        <v>10</v>
      </c>
      <c r="K691" s="257">
        <v>0</v>
      </c>
      <c r="L691" s="257">
        <v>10</v>
      </c>
      <c r="M691" s="257">
        <v>10</v>
      </c>
      <c r="N691" s="257">
        <v>0</v>
      </c>
      <c r="O691" s="257">
        <f t="shared" ref="O691:O693" si="1213">M691+N691</f>
        <v>10</v>
      </c>
      <c r="P691" s="257">
        <v>10</v>
      </c>
      <c r="Q691" s="257">
        <v>0</v>
      </c>
      <c r="R691" s="257">
        <f t="shared" si="1209"/>
        <v>10</v>
      </c>
      <c r="S691" s="257">
        <v>0</v>
      </c>
      <c r="T691" s="257">
        <f t="shared" si="1210"/>
        <v>10</v>
      </c>
      <c r="U691" s="257">
        <v>0</v>
      </c>
      <c r="V691" s="257">
        <v>10</v>
      </c>
      <c r="W691" s="257">
        <v>0</v>
      </c>
      <c r="X691" s="257">
        <f t="shared" si="1211"/>
        <v>10</v>
      </c>
      <c r="Y691" s="257">
        <v>-10</v>
      </c>
      <c r="Z691" s="257">
        <f t="shared" si="1212"/>
        <v>0</v>
      </c>
    </row>
    <row r="692" spans="1:26" ht="18.75" customHeight="1" x14ac:dyDescent="0.2">
      <c r="A692" s="259" t="s">
        <v>514</v>
      </c>
      <c r="B692" s="271">
        <v>801</v>
      </c>
      <c r="C692" s="252" t="s">
        <v>194</v>
      </c>
      <c r="D692" s="252" t="s">
        <v>212</v>
      </c>
      <c r="E692" s="252" t="s">
        <v>800</v>
      </c>
      <c r="F692" s="252" t="s">
        <v>94</v>
      </c>
      <c r="G692" s="257"/>
      <c r="H692" s="257">
        <v>100</v>
      </c>
      <c r="I692" s="257">
        <v>0</v>
      </c>
      <c r="J692" s="257">
        <f t="shared" si="1203"/>
        <v>100</v>
      </c>
      <c r="K692" s="257">
        <v>0</v>
      </c>
      <c r="L692" s="257">
        <v>50</v>
      </c>
      <c r="M692" s="257">
        <v>50</v>
      </c>
      <c r="N692" s="257">
        <v>0</v>
      </c>
      <c r="O692" s="257">
        <f t="shared" si="1213"/>
        <v>50</v>
      </c>
      <c r="P692" s="257">
        <v>50</v>
      </c>
      <c r="Q692" s="257">
        <v>0</v>
      </c>
      <c r="R692" s="257">
        <f t="shared" si="1209"/>
        <v>50</v>
      </c>
      <c r="S692" s="257">
        <v>0</v>
      </c>
      <c r="T692" s="257">
        <f t="shared" si="1210"/>
        <v>50</v>
      </c>
      <c r="U692" s="257">
        <v>0</v>
      </c>
      <c r="V692" s="257">
        <v>0</v>
      </c>
      <c r="W692" s="257">
        <v>50</v>
      </c>
      <c r="X692" s="257">
        <f t="shared" si="1211"/>
        <v>50</v>
      </c>
      <c r="Y692" s="257">
        <v>-50</v>
      </c>
      <c r="Z692" s="257">
        <f t="shared" si="1212"/>
        <v>0</v>
      </c>
    </row>
    <row r="693" spans="1:26" ht="27" hidden="1" customHeight="1" x14ac:dyDescent="0.2">
      <c r="A693" s="259" t="s">
        <v>466</v>
      </c>
      <c r="B693" s="271">
        <v>801</v>
      </c>
      <c r="C693" s="252" t="s">
        <v>194</v>
      </c>
      <c r="D693" s="252" t="s">
        <v>212</v>
      </c>
      <c r="E693" s="252" t="s">
        <v>874</v>
      </c>
      <c r="F693" s="252" t="s">
        <v>94</v>
      </c>
      <c r="G693" s="257"/>
      <c r="H693" s="257">
        <v>0</v>
      </c>
      <c r="I693" s="257">
        <v>9</v>
      </c>
      <c r="J693" s="257">
        <f t="shared" si="1203"/>
        <v>9</v>
      </c>
      <c r="K693" s="257">
        <v>10</v>
      </c>
      <c r="L693" s="257">
        <v>0</v>
      </c>
      <c r="M693" s="257">
        <v>0</v>
      </c>
      <c r="N693" s="257">
        <v>0</v>
      </c>
      <c r="O693" s="257">
        <f t="shared" si="1213"/>
        <v>0</v>
      </c>
      <c r="P693" s="257">
        <v>0</v>
      </c>
      <c r="Q693" s="257">
        <v>0</v>
      </c>
      <c r="R693" s="257">
        <f t="shared" si="1209"/>
        <v>0</v>
      </c>
      <c r="S693" s="257">
        <f t="shared" ref="S693" si="1214">Q693+R693</f>
        <v>0</v>
      </c>
      <c r="T693" s="257">
        <f t="shared" si="1210"/>
        <v>0</v>
      </c>
      <c r="U693" s="257">
        <f t="shared" ref="U693" si="1215">S693+T693</f>
        <v>0</v>
      </c>
      <c r="V693" s="257">
        <f t="shared" ref="V693" si="1216">T693+U693</f>
        <v>0</v>
      </c>
      <c r="W693" s="257">
        <f t="shared" ref="W693" si="1217">U693+V693</f>
        <v>0</v>
      </c>
      <c r="X693" s="257">
        <f t="shared" si="1211"/>
        <v>0</v>
      </c>
      <c r="Y693" s="257">
        <f t="shared" ref="Y693" si="1218">W693+X693</f>
        <v>0</v>
      </c>
      <c r="Z693" s="257">
        <f t="shared" si="1212"/>
        <v>0</v>
      </c>
    </row>
    <row r="694" spans="1:26" ht="30" hidden="1" customHeight="1" x14ac:dyDescent="0.2">
      <c r="A694" s="259" t="s">
        <v>466</v>
      </c>
      <c r="B694" s="271">
        <v>801</v>
      </c>
      <c r="C694" s="252" t="s">
        <v>194</v>
      </c>
      <c r="D694" s="252" t="s">
        <v>212</v>
      </c>
      <c r="E694" s="252" t="s">
        <v>874</v>
      </c>
      <c r="F694" s="252"/>
      <c r="G694" s="257"/>
      <c r="H694" s="257">
        <f>H695</f>
        <v>800</v>
      </c>
      <c r="I694" s="257">
        <f>I695</f>
        <v>-184</v>
      </c>
      <c r="J694" s="257">
        <f t="shared" si="1203"/>
        <v>616</v>
      </c>
      <c r="K694" s="257">
        <f>K695</f>
        <v>-216</v>
      </c>
      <c r="L694" s="257">
        <f>L695</f>
        <v>650</v>
      </c>
      <c r="M694" s="257">
        <f>M695</f>
        <v>650</v>
      </c>
      <c r="N694" s="257">
        <f t="shared" ref="N694:Z694" si="1219">N695</f>
        <v>-650</v>
      </c>
      <c r="O694" s="257">
        <f t="shared" si="1219"/>
        <v>0</v>
      </c>
      <c r="P694" s="257">
        <f t="shared" si="1219"/>
        <v>0</v>
      </c>
      <c r="Q694" s="257">
        <f t="shared" si="1219"/>
        <v>0</v>
      </c>
      <c r="R694" s="257">
        <f t="shared" si="1219"/>
        <v>0</v>
      </c>
      <c r="S694" s="257">
        <f t="shared" si="1219"/>
        <v>0</v>
      </c>
      <c r="T694" s="257">
        <f t="shared" si="1219"/>
        <v>0</v>
      </c>
      <c r="U694" s="257">
        <f t="shared" si="1219"/>
        <v>0</v>
      </c>
      <c r="V694" s="257">
        <f t="shared" si="1219"/>
        <v>0</v>
      </c>
      <c r="W694" s="257">
        <f t="shared" si="1219"/>
        <v>0</v>
      </c>
      <c r="X694" s="257">
        <f t="shared" si="1219"/>
        <v>0</v>
      </c>
      <c r="Y694" s="257">
        <f t="shared" si="1219"/>
        <v>0</v>
      </c>
      <c r="Z694" s="257">
        <f t="shared" si="1219"/>
        <v>0</v>
      </c>
    </row>
    <row r="695" spans="1:26" ht="18.75" hidden="1" customHeight="1" x14ac:dyDescent="0.2">
      <c r="A695" s="259" t="s">
        <v>318</v>
      </c>
      <c r="B695" s="271" t="s">
        <v>146</v>
      </c>
      <c r="C695" s="252" t="s">
        <v>194</v>
      </c>
      <c r="D695" s="252" t="s">
        <v>212</v>
      </c>
      <c r="E695" s="252" t="s">
        <v>874</v>
      </c>
      <c r="F695" s="252" t="s">
        <v>319</v>
      </c>
      <c r="G695" s="257"/>
      <c r="H695" s="257">
        <v>800</v>
      </c>
      <c r="I695" s="257">
        <f>-175-9</f>
        <v>-184</v>
      </c>
      <c r="J695" s="257">
        <f t="shared" si="1203"/>
        <v>616</v>
      </c>
      <c r="K695" s="257">
        <v>-216</v>
      </c>
      <c r="L695" s="257">
        <v>650</v>
      </c>
      <c r="M695" s="257">
        <v>650</v>
      </c>
      <c r="N695" s="257">
        <v>-650</v>
      </c>
      <c r="O695" s="257">
        <f>M695+N695</f>
        <v>0</v>
      </c>
      <c r="P695" s="257">
        <v>0</v>
      </c>
      <c r="Q695" s="257">
        <v>0</v>
      </c>
      <c r="R695" s="257">
        <f t="shared" si="1209"/>
        <v>0</v>
      </c>
      <c r="S695" s="257">
        <f t="shared" ref="S695:S698" si="1220">Q695+R695</f>
        <v>0</v>
      </c>
      <c r="T695" s="257">
        <f t="shared" ref="T695:T698" si="1221">R695+S695</f>
        <v>0</v>
      </c>
      <c r="U695" s="257">
        <f t="shared" ref="U695:U698" si="1222">S695+T695</f>
        <v>0</v>
      </c>
      <c r="V695" s="257">
        <f t="shared" ref="V695:V698" si="1223">T695+U695</f>
        <v>0</v>
      </c>
      <c r="W695" s="257">
        <f t="shared" ref="W695:W698" si="1224">U695+V695</f>
        <v>0</v>
      </c>
      <c r="X695" s="257">
        <f t="shared" ref="X695:X698" si="1225">V695+W695</f>
        <v>0</v>
      </c>
      <c r="Y695" s="257">
        <f t="shared" ref="Y695:Y698" si="1226">W695+X695</f>
        <v>0</v>
      </c>
      <c r="Z695" s="257">
        <f t="shared" ref="Z695:Z698" si="1227">X695+Y695</f>
        <v>0</v>
      </c>
    </row>
    <row r="696" spans="1:26" ht="18.75" hidden="1" customHeight="1" x14ac:dyDescent="0.2">
      <c r="A696" s="259" t="s">
        <v>352</v>
      </c>
      <c r="B696" s="271">
        <v>801</v>
      </c>
      <c r="C696" s="252" t="s">
        <v>194</v>
      </c>
      <c r="D696" s="252" t="s">
        <v>212</v>
      </c>
      <c r="E696" s="252" t="s">
        <v>875</v>
      </c>
      <c r="F696" s="252"/>
      <c r="G696" s="257"/>
      <c r="H696" s="257"/>
      <c r="I696" s="257"/>
      <c r="J696" s="257"/>
      <c r="K696" s="257">
        <f>K697+K698</f>
        <v>206</v>
      </c>
      <c r="L696" s="257">
        <f>L697+L698</f>
        <v>0</v>
      </c>
      <c r="M696" s="257">
        <f>M697+M698</f>
        <v>0</v>
      </c>
      <c r="N696" s="257">
        <f t="shared" ref="N696:Q696" si="1228">N697+N698</f>
        <v>0</v>
      </c>
      <c r="O696" s="257">
        <f t="shared" si="1228"/>
        <v>0</v>
      </c>
      <c r="P696" s="257">
        <f t="shared" si="1228"/>
        <v>0</v>
      </c>
      <c r="Q696" s="257">
        <f t="shared" si="1228"/>
        <v>0</v>
      </c>
      <c r="R696" s="257">
        <f t="shared" si="1209"/>
        <v>0</v>
      </c>
      <c r="S696" s="257">
        <f t="shared" si="1220"/>
        <v>0</v>
      </c>
      <c r="T696" s="257">
        <f t="shared" si="1221"/>
        <v>0</v>
      </c>
      <c r="U696" s="257">
        <f t="shared" si="1222"/>
        <v>0</v>
      </c>
      <c r="V696" s="257">
        <f t="shared" si="1223"/>
        <v>0</v>
      </c>
      <c r="W696" s="257">
        <f t="shared" si="1224"/>
        <v>0</v>
      </c>
      <c r="X696" s="257">
        <f t="shared" si="1225"/>
        <v>0</v>
      </c>
      <c r="Y696" s="257">
        <f t="shared" si="1226"/>
        <v>0</v>
      </c>
      <c r="Z696" s="257">
        <f t="shared" si="1227"/>
        <v>0</v>
      </c>
    </row>
    <row r="697" spans="1:26" ht="18.75" hidden="1" customHeight="1" x14ac:dyDescent="0.2">
      <c r="A697" s="259" t="s">
        <v>921</v>
      </c>
      <c r="B697" s="271">
        <v>801</v>
      </c>
      <c r="C697" s="252" t="s">
        <v>194</v>
      </c>
      <c r="D697" s="252" t="s">
        <v>212</v>
      </c>
      <c r="E697" s="252" t="s">
        <v>875</v>
      </c>
      <c r="F697" s="252" t="s">
        <v>102</v>
      </c>
      <c r="G697" s="257"/>
      <c r="H697" s="257"/>
      <c r="I697" s="257"/>
      <c r="J697" s="257"/>
      <c r="K697" s="257">
        <v>106</v>
      </c>
      <c r="L697" s="257">
        <v>0</v>
      </c>
      <c r="M697" s="257">
        <v>0</v>
      </c>
      <c r="N697" s="257">
        <v>0</v>
      </c>
      <c r="O697" s="257">
        <v>0</v>
      </c>
      <c r="P697" s="257">
        <v>0</v>
      </c>
      <c r="Q697" s="257">
        <v>0</v>
      </c>
      <c r="R697" s="257">
        <f t="shared" si="1209"/>
        <v>0</v>
      </c>
      <c r="S697" s="257">
        <f t="shared" si="1220"/>
        <v>0</v>
      </c>
      <c r="T697" s="257">
        <f t="shared" si="1221"/>
        <v>0</v>
      </c>
      <c r="U697" s="257">
        <f t="shared" si="1222"/>
        <v>0</v>
      </c>
      <c r="V697" s="257">
        <f t="shared" si="1223"/>
        <v>0</v>
      </c>
      <c r="W697" s="257">
        <f t="shared" si="1224"/>
        <v>0</v>
      </c>
      <c r="X697" s="257">
        <f t="shared" si="1225"/>
        <v>0</v>
      </c>
      <c r="Y697" s="257">
        <f t="shared" si="1226"/>
        <v>0</v>
      </c>
      <c r="Z697" s="257">
        <f t="shared" si="1227"/>
        <v>0</v>
      </c>
    </row>
    <row r="698" spans="1:26" ht="18.75" hidden="1" customHeight="1" x14ac:dyDescent="0.2">
      <c r="A698" s="259" t="s">
        <v>93</v>
      </c>
      <c r="B698" s="271" t="s">
        <v>146</v>
      </c>
      <c r="C698" s="252" t="s">
        <v>194</v>
      </c>
      <c r="D698" s="252" t="s">
        <v>212</v>
      </c>
      <c r="E698" s="252" t="s">
        <v>875</v>
      </c>
      <c r="F698" s="252" t="s">
        <v>94</v>
      </c>
      <c r="G698" s="257"/>
      <c r="H698" s="257"/>
      <c r="I698" s="257"/>
      <c r="J698" s="257"/>
      <c r="K698" s="257">
        <v>100</v>
      </c>
      <c r="L698" s="257">
        <v>0</v>
      </c>
      <c r="M698" s="257">
        <v>0</v>
      </c>
      <c r="N698" s="257">
        <v>0</v>
      </c>
      <c r="O698" s="257">
        <v>0</v>
      </c>
      <c r="P698" s="257">
        <v>0</v>
      </c>
      <c r="Q698" s="257">
        <v>0</v>
      </c>
      <c r="R698" s="257">
        <f t="shared" si="1209"/>
        <v>0</v>
      </c>
      <c r="S698" s="257">
        <f t="shared" si="1220"/>
        <v>0</v>
      </c>
      <c r="T698" s="257">
        <f t="shared" si="1221"/>
        <v>0</v>
      </c>
      <c r="U698" s="257">
        <f t="shared" si="1222"/>
        <v>0</v>
      </c>
      <c r="V698" s="257">
        <f t="shared" si="1223"/>
        <v>0</v>
      </c>
      <c r="W698" s="257">
        <f t="shared" si="1224"/>
        <v>0</v>
      </c>
      <c r="X698" s="257">
        <f t="shared" si="1225"/>
        <v>0</v>
      </c>
      <c r="Y698" s="257">
        <f t="shared" si="1226"/>
        <v>0</v>
      </c>
      <c r="Z698" s="257">
        <f t="shared" si="1227"/>
        <v>0</v>
      </c>
    </row>
    <row r="699" spans="1:26" s="430" customFormat="1" ht="23.25" customHeight="1" x14ac:dyDescent="0.2">
      <c r="A699" s="462" t="s">
        <v>1095</v>
      </c>
      <c r="B699" s="249" t="s">
        <v>146</v>
      </c>
      <c r="C699" s="250" t="s">
        <v>194</v>
      </c>
      <c r="D699" s="250" t="s">
        <v>212</v>
      </c>
      <c r="E699" s="250" t="s">
        <v>1097</v>
      </c>
      <c r="F699" s="250"/>
      <c r="G699" s="275">
        <f>G700+G705+G706+G704</f>
        <v>0</v>
      </c>
      <c r="H699" s="275">
        <f t="shared" ref="H699:Q699" si="1229">H700+H704+H705+H706+H701</f>
        <v>2206</v>
      </c>
      <c r="I699" s="275">
        <f t="shared" si="1229"/>
        <v>153</v>
      </c>
      <c r="J699" s="275">
        <f t="shared" si="1229"/>
        <v>2359</v>
      </c>
      <c r="K699" s="275">
        <f t="shared" si="1229"/>
        <v>-103</v>
      </c>
      <c r="L699" s="275">
        <f t="shared" si="1229"/>
        <v>2671</v>
      </c>
      <c r="M699" s="275">
        <f t="shared" si="1229"/>
        <v>2671</v>
      </c>
      <c r="N699" s="275">
        <f t="shared" si="1229"/>
        <v>972</v>
      </c>
      <c r="O699" s="275">
        <f t="shared" si="1229"/>
        <v>3643</v>
      </c>
      <c r="P699" s="275">
        <f t="shared" si="1229"/>
        <v>3643</v>
      </c>
      <c r="Q699" s="275">
        <f t="shared" si="1229"/>
        <v>0</v>
      </c>
      <c r="R699" s="275">
        <f t="shared" ref="R699:X699" si="1230">R700+R701+R702+R703+R704+R705+R706+R707+R708</f>
        <v>3643</v>
      </c>
      <c r="S699" s="275">
        <f t="shared" si="1230"/>
        <v>2847.2</v>
      </c>
      <c r="T699" s="275">
        <f t="shared" si="1230"/>
        <v>6682.2</v>
      </c>
      <c r="U699" s="275">
        <f t="shared" si="1230"/>
        <v>-343.2</v>
      </c>
      <c r="V699" s="275">
        <f t="shared" si="1230"/>
        <v>5582.7</v>
      </c>
      <c r="W699" s="275">
        <f t="shared" si="1230"/>
        <v>968.3</v>
      </c>
      <c r="X699" s="275">
        <f t="shared" si="1230"/>
        <v>6911</v>
      </c>
      <c r="Y699" s="275">
        <f t="shared" ref="Y699:Z699" si="1231">Y700+Y701+Y702+Y703+Y704+Y705+Y706+Y707+Y708</f>
        <v>-6911</v>
      </c>
      <c r="Z699" s="275">
        <f t="shared" si="1231"/>
        <v>0</v>
      </c>
    </row>
    <row r="700" spans="1:26" ht="23.25" customHeight="1" x14ac:dyDescent="0.2">
      <c r="A700" s="259" t="s">
        <v>897</v>
      </c>
      <c r="B700" s="271" t="s">
        <v>146</v>
      </c>
      <c r="C700" s="252" t="s">
        <v>194</v>
      </c>
      <c r="D700" s="252" t="s">
        <v>212</v>
      </c>
      <c r="E700" s="252" t="s">
        <v>1097</v>
      </c>
      <c r="F700" s="252" t="s">
        <v>832</v>
      </c>
      <c r="G700" s="257"/>
      <c r="H700" s="257">
        <v>2123</v>
      </c>
      <c r="I700" s="257">
        <f>-373+118</f>
        <v>-255</v>
      </c>
      <c r="J700" s="257">
        <f>H700+I700</f>
        <v>1868</v>
      </c>
      <c r="K700" s="257">
        <v>-118</v>
      </c>
      <c r="L700" s="257">
        <v>1960</v>
      </c>
      <c r="M700" s="257">
        <v>1960</v>
      </c>
      <c r="N700" s="257">
        <v>745</v>
      </c>
      <c r="O700" s="257">
        <f>M700+N700</f>
        <v>2705</v>
      </c>
      <c r="P700" s="257">
        <v>2705</v>
      </c>
      <c r="Q700" s="257">
        <v>0</v>
      </c>
      <c r="R700" s="257">
        <f t="shared" si="1209"/>
        <v>2705</v>
      </c>
      <c r="S700" s="257">
        <f>1190.2</f>
        <v>1190.2</v>
      </c>
      <c r="T700" s="257">
        <f t="shared" ref="T700:T707" si="1232">R700+S700</f>
        <v>3895.2</v>
      </c>
      <c r="U700" s="257">
        <f>-296.2+168</f>
        <v>-128.19999999999999</v>
      </c>
      <c r="V700" s="257">
        <v>3895.2</v>
      </c>
      <c r="W700" s="257">
        <v>46.8</v>
      </c>
      <c r="X700" s="257">
        <v>4183</v>
      </c>
      <c r="Y700" s="257">
        <v>-4183</v>
      </c>
      <c r="Z700" s="257">
        <f t="shared" ref="Z700:Z707" si="1233">X700+Y700</f>
        <v>0</v>
      </c>
    </row>
    <row r="701" spans="1:26" ht="34.5" customHeight="1" x14ac:dyDescent="0.2">
      <c r="A701" s="375" t="s">
        <v>900</v>
      </c>
      <c r="B701" s="271" t="s">
        <v>146</v>
      </c>
      <c r="C701" s="252" t="s">
        <v>194</v>
      </c>
      <c r="D701" s="252" t="s">
        <v>212</v>
      </c>
      <c r="E701" s="252" t="s">
        <v>1097</v>
      </c>
      <c r="F701" s="252" t="s">
        <v>899</v>
      </c>
      <c r="G701" s="257"/>
      <c r="H701" s="257">
        <v>0</v>
      </c>
      <c r="I701" s="257">
        <f>373+35</f>
        <v>408</v>
      </c>
      <c r="J701" s="257">
        <f>H701+I701</f>
        <v>408</v>
      </c>
      <c r="K701" s="257">
        <v>15</v>
      </c>
      <c r="L701" s="257">
        <v>590</v>
      </c>
      <c r="M701" s="257">
        <v>590</v>
      </c>
      <c r="N701" s="257">
        <v>227</v>
      </c>
      <c r="O701" s="257">
        <f t="shared" ref="O701:O706" si="1234">M701+N701</f>
        <v>817</v>
      </c>
      <c r="P701" s="257">
        <v>817</v>
      </c>
      <c r="Q701" s="257">
        <v>0</v>
      </c>
      <c r="R701" s="257">
        <f t="shared" si="1209"/>
        <v>817</v>
      </c>
      <c r="S701" s="257">
        <f>360</f>
        <v>360</v>
      </c>
      <c r="T701" s="257">
        <f t="shared" si="1232"/>
        <v>1177</v>
      </c>
      <c r="U701" s="257">
        <f>-90+51</f>
        <v>-39</v>
      </c>
      <c r="V701" s="257">
        <v>1177</v>
      </c>
      <c r="W701" s="257">
        <v>14</v>
      </c>
      <c r="X701" s="257">
        <v>1444</v>
      </c>
      <c r="Y701" s="257">
        <v>-1444</v>
      </c>
      <c r="Z701" s="257">
        <f t="shared" si="1233"/>
        <v>0</v>
      </c>
    </row>
    <row r="702" spans="1:26" ht="18.75" customHeight="1" x14ac:dyDescent="0.2">
      <c r="A702" s="259" t="s">
        <v>897</v>
      </c>
      <c r="B702" s="271" t="s">
        <v>146</v>
      </c>
      <c r="C702" s="252" t="s">
        <v>194</v>
      </c>
      <c r="D702" s="252" t="s">
        <v>212</v>
      </c>
      <c r="E702" s="252" t="s">
        <v>1133</v>
      </c>
      <c r="F702" s="252" t="s">
        <v>832</v>
      </c>
      <c r="G702" s="257"/>
      <c r="H702" s="257"/>
      <c r="I702" s="257"/>
      <c r="J702" s="257"/>
      <c r="K702" s="257"/>
      <c r="L702" s="257"/>
      <c r="M702" s="257"/>
      <c r="N702" s="257"/>
      <c r="O702" s="257"/>
      <c r="P702" s="257"/>
      <c r="Q702" s="257"/>
      <c r="R702" s="257">
        <v>0</v>
      </c>
      <c r="S702" s="257">
        <f>730</f>
        <v>730</v>
      </c>
      <c r="T702" s="257">
        <f t="shared" si="1232"/>
        <v>730</v>
      </c>
      <c r="U702" s="257">
        <v>0</v>
      </c>
      <c r="V702" s="257">
        <v>0</v>
      </c>
      <c r="W702" s="257">
        <v>730</v>
      </c>
      <c r="X702" s="257">
        <v>730</v>
      </c>
      <c r="Y702" s="257">
        <v>-730</v>
      </c>
      <c r="Z702" s="257">
        <f t="shared" si="1233"/>
        <v>0</v>
      </c>
    </row>
    <row r="703" spans="1:26" ht="34.5" customHeight="1" x14ac:dyDescent="0.2">
      <c r="A703" s="375" t="s">
        <v>900</v>
      </c>
      <c r="B703" s="271" t="s">
        <v>146</v>
      </c>
      <c r="C703" s="252" t="s">
        <v>194</v>
      </c>
      <c r="D703" s="252" t="s">
        <v>212</v>
      </c>
      <c r="E703" s="252" t="s">
        <v>1133</v>
      </c>
      <c r="F703" s="252" t="s">
        <v>899</v>
      </c>
      <c r="G703" s="257"/>
      <c r="H703" s="257"/>
      <c r="I703" s="257"/>
      <c r="J703" s="257"/>
      <c r="K703" s="257"/>
      <c r="L703" s="257"/>
      <c r="M703" s="257"/>
      <c r="N703" s="257"/>
      <c r="O703" s="257"/>
      <c r="P703" s="257"/>
      <c r="Q703" s="257"/>
      <c r="R703" s="257">
        <v>0</v>
      </c>
      <c r="S703" s="257">
        <f>220</f>
        <v>220</v>
      </c>
      <c r="T703" s="257">
        <f t="shared" si="1232"/>
        <v>220</v>
      </c>
      <c r="U703" s="257">
        <v>0</v>
      </c>
      <c r="V703" s="257">
        <v>0</v>
      </c>
      <c r="W703" s="257">
        <v>220</v>
      </c>
      <c r="X703" s="257">
        <v>220</v>
      </c>
      <c r="Y703" s="257">
        <v>-220</v>
      </c>
      <c r="Z703" s="257">
        <f t="shared" si="1233"/>
        <v>0</v>
      </c>
    </row>
    <row r="704" spans="1:26" ht="18.75" customHeight="1" x14ac:dyDescent="0.2">
      <c r="A704" s="259" t="s">
        <v>952</v>
      </c>
      <c r="B704" s="271" t="s">
        <v>146</v>
      </c>
      <c r="C704" s="252" t="s">
        <v>194</v>
      </c>
      <c r="D704" s="252" t="s">
        <v>212</v>
      </c>
      <c r="E704" s="252" t="s">
        <v>1097</v>
      </c>
      <c r="F704" s="252" t="s">
        <v>919</v>
      </c>
      <c r="G704" s="257"/>
      <c r="H704" s="257">
        <v>28</v>
      </c>
      <c r="I704" s="257">
        <v>0</v>
      </c>
      <c r="J704" s="257">
        <f>H704+I704</f>
        <v>28</v>
      </c>
      <c r="K704" s="257">
        <v>0</v>
      </c>
      <c r="L704" s="257">
        <v>53</v>
      </c>
      <c r="M704" s="257">
        <v>53</v>
      </c>
      <c r="N704" s="257">
        <v>0</v>
      </c>
      <c r="O704" s="257">
        <f t="shared" si="1234"/>
        <v>53</v>
      </c>
      <c r="P704" s="257">
        <v>53</v>
      </c>
      <c r="Q704" s="257">
        <v>0</v>
      </c>
      <c r="R704" s="257">
        <f t="shared" si="1209"/>
        <v>53</v>
      </c>
      <c r="S704" s="257">
        <v>-35</v>
      </c>
      <c r="T704" s="257">
        <f t="shared" si="1232"/>
        <v>18</v>
      </c>
      <c r="U704" s="257">
        <v>0</v>
      </c>
      <c r="V704" s="257">
        <v>18</v>
      </c>
      <c r="W704" s="257">
        <v>0</v>
      </c>
      <c r="X704" s="257">
        <v>18</v>
      </c>
      <c r="Y704" s="257">
        <v>-18</v>
      </c>
      <c r="Z704" s="257">
        <f t="shared" si="1233"/>
        <v>0</v>
      </c>
    </row>
    <row r="705" spans="1:26" ht="18.75" hidden="1" customHeight="1" x14ac:dyDescent="0.2">
      <c r="A705" s="259" t="s">
        <v>99</v>
      </c>
      <c r="B705" s="271" t="s">
        <v>146</v>
      </c>
      <c r="C705" s="252" t="s">
        <v>194</v>
      </c>
      <c r="D705" s="252" t="s">
        <v>212</v>
      </c>
      <c r="E705" s="252" t="s">
        <v>1097</v>
      </c>
      <c r="F705" s="252" t="s">
        <v>100</v>
      </c>
      <c r="G705" s="257"/>
      <c r="H705" s="257">
        <v>50</v>
      </c>
      <c r="I705" s="257">
        <v>0</v>
      </c>
      <c r="J705" s="257">
        <f>H705+I705</f>
        <v>50</v>
      </c>
      <c r="K705" s="257">
        <v>0</v>
      </c>
      <c r="L705" s="257">
        <v>0</v>
      </c>
      <c r="M705" s="257">
        <v>0</v>
      </c>
      <c r="N705" s="257">
        <v>0</v>
      </c>
      <c r="O705" s="257">
        <f t="shared" si="1234"/>
        <v>0</v>
      </c>
      <c r="P705" s="257">
        <v>0</v>
      </c>
      <c r="Q705" s="257">
        <v>0</v>
      </c>
      <c r="R705" s="257">
        <f t="shared" si="1209"/>
        <v>0</v>
      </c>
      <c r="S705" s="257">
        <v>105</v>
      </c>
      <c r="T705" s="257">
        <f t="shared" si="1232"/>
        <v>105</v>
      </c>
      <c r="U705" s="257">
        <v>20</v>
      </c>
      <c r="V705" s="257">
        <v>105</v>
      </c>
      <c r="W705" s="257">
        <v>-105</v>
      </c>
      <c r="X705" s="257">
        <v>0</v>
      </c>
      <c r="Y705" s="257">
        <v>0</v>
      </c>
      <c r="Z705" s="257">
        <f t="shared" si="1233"/>
        <v>0</v>
      </c>
    </row>
    <row r="706" spans="1:26" ht="18.75" customHeight="1" x14ac:dyDescent="0.2">
      <c r="A706" s="259" t="s">
        <v>93</v>
      </c>
      <c r="B706" s="271" t="s">
        <v>146</v>
      </c>
      <c r="C706" s="252" t="s">
        <v>194</v>
      </c>
      <c r="D706" s="252" t="s">
        <v>212</v>
      </c>
      <c r="E706" s="252" t="s">
        <v>1097</v>
      </c>
      <c r="F706" s="252" t="s">
        <v>94</v>
      </c>
      <c r="G706" s="257"/>
      <c r="H706" s="257">
        <v>5</v>
      </c>
      <c r="I706" s="257">
        <v>0</v>
      </c>
      <c r="J706" s="257">
        <f>H706+I706</f>
        <v>5</v>
      </c>
      <c r="K706" s="257">
        <v>0</v>
      </c>
      <c r="L706" s="257">
        <v>68</v>
      </c>
      <c r="M706" s="257">
        <v>68</v>
      </c>
      <c r="N706" s="257">
        <v>0</v>
      </c>
      <c r="O706" s="257">
        <f t="shared" si="1234"/>
        <v>68</v>
      </c>
      <c r="P706" s="257">
        <v>68</v>
      </c>
      <c r="Q706" s="257">
        <v>0</v>
      </c>
      <c r="R706" s="257">
        <f t="shared" si="1209"/>
        <v>68</v>
      </c>
      <c r="S706" s="257">
        <v>123</v>
      </c>
      <c r="T706" s="257">
        <v>191</v>
      </c>
      <c r="U706" s="257">
        <v>0</v>
      </c>
      <c r="V706" s="257">
        <v>191</v>
      </c>
      <c r="W706" s="257">
        <v>109</v>
      </c>
      <c r="X706" s="257">
        <v>296</v>
      </c>
      <c r="Y706" s="257">
        <v>-296</v>
      </c>
      <c r="Z706" s="257">
        <f t="shared" si="1233"/>
        <v>0</v>
      </c>
    </row>
    <row r="707" spans="1:26" ht="18.75" hidden="1" customHeight="1" x14ac:dyDescent="0.2">
      <c r="A707" s="259" t="s">
        <v>103</v>
      </c>
      <c r="B707" s="271" t="s">
        <v>146</v>
      </c>
      <c r="C707" s="252" t="s">
        <v>194</v>
      </c>
      <c r="D707" s="252" t="s">
        <v>212</v>
      </c>
      <c r="E707" s="252" t="s">
        <v>1097</v>
      </c>
      <c r="F707" s="252" t="s">
        <v>104</v>
      </c>
      <c r="G707" s="257"/>
      <c r="H707" s="257"/>
      <c r="I707" s="257"/>
      <c r="J707" s="257"/>
      <c r="K707" s="257"/>
      <c r="L707" s="257"/>
      <c r="M707" s="257"/>
      <c r="N707" s="257"/>
      <c r="O707" s="257"/>
      <c r="P707" s="257"/>
      <c r="Q707" s="257"/>
      <c r="R707" s="257">
        <v>0</v>
      </c>
      <c r="S707" s="257">
        <v>0</v>
      </c>
      <c r="T707" s="257">
        <f t="shared" si="1232"/>
        <v>0</v>
      </c>
      <c r="U707" s="257">
        <v>0</v>
      </c>
      <c r="V707" s="257">
        <f t="shared" ref="V707" si="1235">T707+U707</f>
        <v>0</v>
      </c>
      <c r="W707" s="257">
        <v>0</v>
      </c>
      <c r="X707" s="257">
        <f t="shared" ref="X707" si="1236">V707+W707</f>
        <v>0</v>
      </c>
      <c r="Y707" s="257">
        <v>0</v>
      </c>
      <c r="Z707" s="257">
        <f t="shared" si="1233"/>
        <v>0</v>
      </c>
    </row>
    <row r="708" spans="1:26" ht="33.75" customHeight="1" x14ac:dyDescent="0.2">
      <c r="A708" s="259" t="s">
        <v>1096</v>
      </c>
      <c r="B708" s="271" t="s">
        <v>146</v>
      </c>
      <c r="C708" s="252" t="s">
        <v>194</v>
      </c>
      <c r="D708" s="252" t="s">
        <v>212</v>
      </c>
      <c r="E708" s="252" t="s">
        <v>1132</v>
      </c>
      <c r="F708" s="252"/>
      <c r="G708" s="257"/>
      <c r="H708" s="257"/>
      <c r="I708" s="257"/>
      <c r="J708" s="257"/>
      <c r="K708" s="257"/>
      <c r="L708" s="257"/>
      <c r="M708" s="257"/>
      <c r="N708" s="257"/>
      <c r="O708" s="257"/>
      <c r="P708" s="257"/>
      <c r="Q708" s="257"/>
      <c r="R708" s="257">
        <f>R709+R710</f>
        <v>0</v>
      </c>
      <c r="S708" s="257">
        <f t="shared" ref="S708:U708" si="1237">S709+S710</f>
        <v>154</v>
      </c>
      <c r="T708" s="257">
        <f>T709+T710</f>
        <v>346</v>
      </c>
      <c r="U708" s="257">
        <f t="shared" si="1237"/>
        <v>-196</v>
      </c>
      <c r="V708" s="257">
        <f>V709+V710</f>
        <v>196.5</v>
      </c>
      <c r="W708" s="257">
        <f>W709+W710</f>
        <v>-46.5</v>
      </c>
      <c r="X708" s="257">
        <f>X709+X710</f>
        <v>20</v>
      </c>
      <c r="Y708" s="257">
        <f>Y710</f>
        <v>-20</v>
      </c>
      <c r="Z708" s="257">
        <f>Z709+Z710</f>
        <v>0</v>
      </c>
    </row>
    <row r="709" spans="1:26" ht="20.25" hidden="1" customHeight="1" x14ac:dyDescent="0.2">
      <c r="A709" s="259" t="s">
        <v>99</v>
      </c>
      <c r="B709" s="271" t="s">
        <v>146</v>
      </c>
      <c r="C709" s="252" t="s">
        <v>194</v>
      </c>
      <c r="D709" s="252" t="s">
        <v>212</v>
      </c>
      <c r="E709" s="252" t="s">
        <v>1132</v>
      </c>
      <c r="F709" s="252" t="s">
        <v>100</v>
      </c>
      <c r="G709" s="257"/>
      <c r="H709" s="257"/>
      <c r="I709" s="257"/>
      <c r="J709" s="257"/>
      <c r="K709" s="257"/>
      <c r="L709" s="257"/>
      <c r="M709" s="257"/>
      <c r="N709" s="257"/>
      <c r="O709" s="257"/>
      <c r="P709" s="257"/>
      <c r="Q709" s="257"/>
      <c r="R709" s="257">
        <v>0</v>
      </c>
      <c r="S709" s="257">
        <v>0</v>
      </c>
      <c r="T709" s="257">
        <f>R709+S709</f>
        <v>0</v>
      </c>
      <c r="U709" s="257">
        <v>0</v>
      </c>
      <c r="V709" s="257">
        <f>T709+U709</f>
        <v>0</v>
      </c>
      <c r="W709" s="257">
        <v>0</v>
      </c>
      <c r="X709" s="257">
        <f>V709+W709</f>
        <v>0</v>
      </c>
      <c r="Y709" s="257">
        <v>0</v>
      </c>
      <c r="Z709" s="257">
        <f>X709+Y709</f>
        <v>0</v>
      </c>
    </row>
    <row r="710" spans="1:26" ht="18.75" customHeight="1" x14ac:dyDescent="0.2">
      <c r="A710" s="259" t="s">
        <v>93</v>
      </c>
      <c r="B710" s="271" t="s">
        <v>146</v>
      </c>
      <c r="C710" s="252" t="s">
        <v>194</v>
      </c>
      <c r="D710" s="252" t="s">
        <v>212</v>
      </c>
      <c r="E710" s="252" t="s">
        <v>1132</v>
      </c>
      <c r="F710" s="252" t="s">
        <v>94</v>
      </c>
      <c r="G710" s="257"/>
      <c r="H710" s="257"/>
      <c r="I710" s="257"/>
      <c r="J710" s="257"/>
      <c r="K710" s="257"/>
      <c r="L710" s="257"/>
      <c r="M710" s="257"/>
      <c r="N710" s="257"/>
      <c r="O710" s="257"/>
      <c r="P710" s="257"/>
      <c r="Q710" s="257"/>
      <c r="R710" s="257">
        <v>0</v>
      </c>
      <c r="S710" s="257">
        <v>154</v>
      </c>
      <c r="T710" s="257">
        <v>346</v>
      </c>
      <c r="U710" s="257">
        <v>-196</v>
      </c>
      <c r="V710" s="257">
        <v>196.5</v>
      </c>
      <c r="W710" s="257">
        <v>-46.5</v>
      </c>
      <c r="X710" s="257">
        <v>20</v>
      </c>
      <c r="Y710" s="257">
        <v>-20</v>
      </c>
      <c r="Z710" s="257">
        <f>X710+Y710</f>
        <v>0</v>
      </c>
    </row>
    <row r="711" spans="1:26" s="430" customFormat="1" ht="30.75" customHeight="1" x14ac:dyDescent="0.2">
      <c r="A711" s="462" t="s">
        <v>1305</v>
      </c>
      <c r="B711" s="249">
        <v>801</v>
      </c>
      <c r="C711" s="250" t="s">
        <v>194</v>
      </c>
      <c r="D711" s="250" t="s">
        <v>214</v>
      </c>
      <c r="E711" s="250"/>
      <c r="F711" s="250"/>
      <c r="G711" s="275"/>
      <c r="H711" s="275"/>
      <c r="I711" s="275"/>
      <c r="J711" s="275"/>
      <c r="K711" s="275"/>
      <c r="L711" s="275"/>
      <c r="M711" s="275"/>
      <c r="N711" s="275"/>
      <c r="O711" s="275"/>
      <c r="P711" s="275"/>
      <c r="Q711" s="275"/>
      <c r="R711" s="275"/>
      <c r="S711" s="275"/>
      <c r="T711" s="275"/>
      <c r="U711" s="275"/>
      <c r="V711" s="275"/>
      <c r="W711" s="275"/>
      <c r="X711" s="275">
        <f>X712</f>
        <v>0</v>
      </c>
      <c r="Y711" s="275">
        <f t="shared" ref="Y711:Z711" si="1238">Y712</f>
        <v>7941</v>
      </c>
      <c r="Z711" s="275">
        <f t="shared" si="1238"/>
        <v>7941</v>
      </c>
    </row>
    <row r="712" spans="1:26" ht="18.75" customHeight="1" x14ac:dyDescent="0.2">
      <c r="A712" s="462" t="s">
        <v>1095</v>
      </c>
      <c r="B712" s="249" t="s">
        <v>146</v>
      </c>
      <c r="C712" s="250" t="s">
        <v>194</v>
      </c>
      <c r="D712" s="250" t="s">
        <v>214</v>
      </c>
      <c r="E712" s="250" t="s">
        <v>1097</v>
      </c>
      <c r="F712" s="250"/>
      <c r="G712" s="275" t="e">
        <f>G713+#REF!+G718+G717</f>
        <v>#REF!</v>
      </c>
      <c r="H712" s="275" t="e">
        <f>H713+H717+#REF!+H718+H714</f>
        <v>#REF!</v>
      </c>
      <c r="I712" s="275" t="e">
        <f>I713+I717+#REF!+I718+I714</f>
        <v>#REF!</v>
      </c>
      <c r="J712" s="275" t="e">
        <f>J713+J717+#REF!+J718+J714</f>
        <v>#REF!</v>
      </c>
      <c r="K712" s="275" t="e">
        <f>K713+K717+#REF!+K718+K714</f>
        <v>#REF!</v>
      </c>
      <c r="L712" s="275" t="e">
        <f>L713+L717+#REF!+L718+L714</f>
        <v>#REF!</v>
      </c>
      <c r="M712" s="275" t="e">
        <f>M713+M717+#REF!+M718+M714</f>
        <v>#REF!</v>
      </c>
      <c r="N712" s="275" t="e">
        <f>N713+N717+#REF!+N718+N714</f>
        <v>#REF!</v>
      </c>
      <c r="O712" s="275" t="e">
        <f>O713+O717+#REF!+O718+O714</f>
        <v>#REF!</v>
      </c>
      <c r="P712" s="275" t="e">
        <f>P713+P717+#REF!+P718+P714</f>
        <v>#REF!</v>
      </c>
      <c r="Q712" s="275" t="e">
        <f>Q713+Q717+#REF!+Q718+Q714</f>
        <v>#REF!</v>
      </c>
      <c r="R712" s="275" t="e">
        <f>R713+R714+#REF!+#REF!+R717+#REF!+R718+R719+R720</f>
        <v>#REF!</v>
      </c>
      <c r="S712" s="275" t="e">
        <f>S713+S714+#REF!+#REF!+S717+#REF!+S718+S719+S720</f>
        <v>#REF!</v>
      </c>
      <c r="T712" s="275" t="e">
        <f>T713+T714+#REF!+#REF!+T717+#REF!+T718+T719+T720</f>
        <v>#REF!</v>
      </c>
      <c r="U712" s="275" t="e">
        <f>U713+U714+#REF!+#REF!+U717+#REF!+U718+U719+U720</f>
        <v>#REF!</v>
      </c>
      <c r="V712" s="275" t="e">
        <f>V713+V714+#REF!+#REF!+V717+#REF!+V718+V719+V720</f>
        <v>#REF!</v>
      </c>
      <c r="W712" s="275" t="e">
        <f>W713+W714+#REF!+#REF!+W717+#REF!+W718+W719+W720</f>
        <v>#REF!</v>
      </c>
      <c r="X712" s="275">
        <f>X713+X714+X715+X716+X717+X718+X719+X720</f>
        <v>0</v>
      </c>
      <c r="Y712" s="275">
        <f t="shared" ref="Y712:Z712" si="1239">Y713+Y714+Y715+Y716+Y717+Y718+Y719+Y720</f>
        <v>7941</v>
      </c>
      <c r="Z712" s="275">
        <f t="shared" si="1239"/>
        <v>7941</v>
      </c>
    </row>
    <row r="713" spans="1:26" ht="18.75" customHeight="1" x14ac:dyDescent="0.2">
      <c r="A713" s="259" t="s">
        <v>897</v>
      </c>
      <c r="B713" s="271" t="s">
        <v>146</v>
      </c>
      <c r="C713" s="252" t="s">
        <v>194</v>
      </c>
      <c r="D713" s="252" t="s">
        <v>214</v>
      </c>
      <c r="E713" s="252" t="s">
        <v>1097</v>
      </c>
      <c r="F713" s="252" t="s">
        <v>832</v>
      </c>
      <c r="G713" s="257"/>
      <c r="H713" s="257">
        <v>2123</v>
      </c>
      <c r="I713" s="257">
        <f>-373+118</f>
        <v>-255</v>
      </c>
      <c r="J713" s="257">
        <f>H713+I713</f>
        <v>1868</v>
      </c>
      <c r="K713" s="257">
        <v>-118</v>
      </c>
      <c r="L713" s="257">
        <v>1960</v>
      </c>
      <c r="M713" s="257">
        <v>1960</v>
      </c>
      <c r="N713" s="257">
        <v>745</v>
      </c>
      <c r="O713" s="257">
        <f>M713+N713</f>
        <v>2705</v>
      </c>
      <c r="P713" s="257">
        <v>2705</v>
      </c>
      <c r="Q713" s="257">
        <v>0</v>
      </c>
      <c r="R713" s="257">
        <f t="shared" ref="R713:R714" si="1240">P713+Q713</f>
        <v>2705</v>
      </c>
      <c r="S713" s="257">
        <f>1190.2</f>
        <v>1190.2</v>
      </c>
      <c r="T713" s="257">
        <f t="shared" ref="T713:T717" si="1241">R713+S713</f>
        <v>3895.2</v>
      </c>
      <c r="U713" s="257">
        <f>-296.2+168</f>
        <v>-128.19999999999999</v>
      </c>
      <c r="V713" s="257">
        <v>3895.2</v>
      </c>
      <c r="W713" s="257">
        <v>46.8</v>
      </c>
      <c r="X713" s="257">
        <v>0</v>
      </c>
      <c r="Y713" s="257">
        <f>4183+570</f>
        <v>4753</v>
      </c>
      <c r="Z713" s="257">
        <f t="shared" ref="Z713:Z720" si="1242">X713+Y713</f>
        <v>4753</v>
      </c>
    </row>
    <row r="714" spans="1:26" ht="26.25" customHeight="1" x14ac:dyDescent="0.2">
      <c r="A714" s="375" t="s">
        <v>900</v>
      </c>
      <c r="B714" s="271" t="s">
        <v>146</v>
      </c>
      <c r="C714" s="252" t="s">
        <v>194</v>
      </c>
      <c r="D714" s="252" t="s">
        <v>214</v>
      </c>
      <c r="E714" s="252" t="s">
        <v>1097</v>
      </c>
      <c r="F714" s="252" t="s">
        <v>899</v>
      </c>
      <c r="G714" s="257"/>
      <c r="H714" s="257">
        <v>0</v>
      </c>
      <c r="I714" s="257">
        <f>373+35</f>
        <v>408</v>
      </c>
      <c r="J714" s="257">
        <f>H714+I714</f>
        <v>408</v>
      </c>
      <c r="K714" s="257">
        <v>15</v>
      </c>
      <c r="L714" s="257">
        <v>590</v>
      </c>
      <c r="M714" s="257">
        <v>590</v>
      </c>
      <c r="N714" s="257">
        <v>227</v>
      </c>
      <c r="O714" s="257">
        <f t="shared" ref="O714" si="1243">M714+N714</f>
        <v>817</v>
      </c>
      <c r="P714" s="257">
        <v>817</v>
      </c>
      <c r="Q714" s="257">
        <v>0</v>
      </c>
      <c r="R714" s="257">
        <f t="shared" si="1240"/>
        <v>817</v>
      </c>
      <c r="S714" s="257">
        <f>360</f>
        <v>360</v>
      </c>
      <c r="T714" s="257">
        <f t="shared" si="1241"/>
        <v>1177</v>
      </c>
      <c r="U714" s="257">
        <f>-90+51</f>
        <v>-39</v>
      </c>
      <c r="V714" s="257">
        <v>1177</v>
      </c>
      <c r="W714" s="257">
        <v>14</v>
      </c>
      <c r="X714" s="257">
        <v>0</v>
      </c>
      <c r="Y714" s="257">
        <f>1444+173</f>
        <v>1617</v>
      </c>
      <c r="Z714" s="257">
        <f t="shared" si="1242"/>
        <v>1617</v>
      </c>
    </row>
    <row r="715" spans="1:26" ht="18.75" customHeight="1" x14ac:dyDescent="0.2">
      <c r="A715" s="259" t="s">
        <v>897</v>
      </c>
      <c r="B715" s="271" t="s">
        <v>146</v>
      </c>
      <c r="C715" s="252" t="s">
        <v>194</v>
      </c>
      <c r="D715" s="252" t="s">
        <v>214</v>
      </c>
      <c r="E715" s="252" t="s">
        <v>1291</v>
      </c>
      <c r="F715" s="252" t="s">
        <v>832</v>
      </c>
      <c r="G715" s="257"/>
      <c r="H715" s="257"/>
      <c r="I715" s="257"/>
      <c r="J715" s="257"/>
      <c r="K715" s="257"/>
      <c r="L715" s="257"/>
      <c r="M715" s="257"/>
      <c r="N715" s="257"/>
      <c r="O715" s="257"/>
      <c r="P715" s="257"/>
      <c r="Q715" s="257"/>
      <c r="R715" s="257">
        <v>0</v>
      </c>
      <c r="S715" s="257">
        <f>730</f>
        <v>730</v>
      </c>
      <c r="T715" s="257">
        <f t="shared" si="1241"/>
        <v>730</v>
      </c>
      <c r="U715" s="257">
        <v>0</v>
      </c>
      <c r="V715" s="257">
        <v>0</v>
      </c>
      <c r="W715" s="257">
        <v>730</v>
      </c>
      <c r="X715" s="257">
        <v>0</v>
      </c>
      <c r="Y715" s="257">
        <v>1000</v>
      </c>
      <c r="Z715" s="257">
        <f t="shared" si="1242"/>
        <v>1000</v>
      </c>
    </row>
    <row r="716" spans="1:26" ht="27.75" customHeight="1" x14ac:dyDescent="0.2">
      <c r="A716" s="375" t="s">
        <v>900</v>
      </c>
      <c r="B716" s="271" t="s">
        <v>146</v>
      </c>
      <c r="C716" s="252" t="s">
        <v>194</v>
      </c>
      <c r="D716" s="252" t="s">
        <v>214</v>
      </c>
      <c r="E716" s="252" t="s">
        <v>1291</v>
      </c>
      <c r="F716" s="252" t="s">
        <v>899</v>
      </c>
      <c r="G716" s="257"/>
      <c r="H716" s="257"/>
      <c r="I716" s="257"/>
      <c r="J716" s="257"/>
      <c r="K716" s="257"/>
      <c r="L716" s="257"/>
      <c r="M716" s="257"/>
      <c r="N716" s="257"/>
      <c r="O716" s="257"/>
      <c r="P716" s="257"/>
      <c r="Q716" s="257"/>
      <c r="R716" s="257">
        <v>0</v>
      </c>
      <c r="S716" s="257">
        <f>220</f>
        <v>220</v>
      </c>
      <c r="T716" s="257">
        <f t="shared" si="1241"/>
        <v>220</v>
      </c>
      <c r="U716" s="257">
        <v>0</v>
      </c>
      <c r="V716" s="257">
        <v>0</v>
      </c>
      <c r="W716" s="257">
        <v>220</v>
      </c>
      <c r="X716" s="257">
        <v>0</v>
      </c>
      <c r="Y716" s="257">
        <v>300</v>
      </c>
      <c r="Z716" s="257">
        <f t="shared" si="1242"/>
        <v>300</v>
      </c>
    </row>
    <row r="717" spans="1:26" ht="18.75" customHeight="1" x14ac:dyDescent="0.2">
      <c r="A717" s="259" t="s">
        <v>952</v>
      </c>
      <c r="B717" s="271" t="s">
        <v>146</v>
      </c>
      <c r="C717" s="252" t="s">
        <v>194</v>
      </c>
      <c r="D717" s="252" t="s">
        <v>214</v>
      </c>
      <c r="E717" s="252" t="s">
        <v>1097</v>
      </c>
      <c r="F717" s="252" t="s">
        <v>919</v>
      </c>
      <c r="G717" s="257"/>
      <c r="H717" s="257">
        <v>28</v>
      </c>
      <c r="I717" s="257">
        <v>0</v>
      </c>
      <c r="J717" s="257">
        <f>H717+I717</f>
        <v>28</v>
      </c>
      <c r="K717" s="257">
        <v>0</v>
      </c>
      <c r="L717" s="257">
        <v>53</v>
      </c>
      <c r="M717" s="257">
        <v>53</v>
      </c>
      <c r="N717" s="257">
        <v>0</v>
      </c>
      <c r="O717" s="257">
        <f t="shared" ref="O717:O718" si="1244">M717+N717</f>
        <v>53</v>
      </c>
      <c r="P717" s="257">
        <v>53</v>
      </c>
      <c r="Q717" s="257">
        <v>0</v>
      </c>
      <c r="R717" s="257">
        <f t="shared" ref="R717:R718" si="1245">P717+Q717</f>
        <v>53</v>
      </c>
      <c r="S717" s="257">
        <v>-35</v>
      </c>
      <c r="T717" s="257">
        <f t="shared" si="1241"/>
        <v>18</v>
      </c>
      <c r="U717" s="257">
        <v>0</v>
      </c>
      <c r="V717" s="257">
        <v>18</v>
      </c>
      <c r="W717" s="257">
        <v>0</v>
      </c>
      <c r="X717" s="257">
        <v>0</v>
      </c>
      <c r="Y717" s="257">
        <v>18</v>
      </c>
      <c r="Z717" s="257">
        <f t="shared" si="1242"/>
        <v>18</v>
      </c>
    </row>
    <row r="718" spans="1:26" ht="18.75" customHeight="1" x14ac:dyDescent="0.2">
      <c r="A718" s="259" t="s">
        <v>93</v>
      </c>
      <c r="B718" s="271" t="s">
        <v>146</v>
      </c>
      <c r="C718" s="252" t="s">
        <v>194</v>
      </c>
      <c r="D718" s="252" t="s">
        <v>214</v>
      </c>
      <c r="E718" s="252" t="s">
        <v>1097</v>
      </c>
      <c r="F718" s="252" t="s">
        <v>94</v>
      </c>
      <c r="G718" s="257"/>
      <c r="H718" s="257">
        <v>5</v>
      </c>
      <c r="I718" s="257">
        <v>0</v>
      </c>
      <c r="J718" s="257">
        <f>H718+I718</f>
        <v>5</v>
      </c>
      <c r="K718" s="257">
        <v>0</v>
      </c>
      <c r="L718" s="257">
        <v>68</v>
      </c>
      <c r="M718" s="257">
        <v>68</v>
      </c>
      <c r="N718" s="257">
        <v>0</v>
      </c>
      <c r="O718" s="257">
        <f t="shared" si="1244"/>
        <v>68</v>
      </c>
      <c r="P718" s="257">
        <v>68</v>
      </c>
      <c r="Q718" s="257">
        <v>0</v>
      </c>
      <c r="R718" s="257">
        <f t="shared" si="1245"/>
        <v>68</v>
      </c>
      <c r="S718" s="257">
        <v>123</v>
      </c>
      <c r="T718" s="257">
        <v>191</v>
      </c>
      <c r="U718" s="257">
        <v>0</v>
      </c>
      <c r="V718" s="257">
        <v>191</v>
      </c>
      <c r="W718" s="257">
        <v>109</v>
      </c>
      <c r="X718" s="257">
        <v>0</v>
      </c>
      <c r="Y718" s="257">
        <v>233</v>
      </c>
      <c r="Z718" s="257">
        <f t="shared" si="1242"/>
        <v>233</v>
      </c>
    </row>
    <row r="719" spans="1:26" ht="18.75" hidden="1" customHeight="1" x14ac:dyDescent="0.2">
      <c r="A719" s="259" t="s">
        <v>103</v>
      </c>
      <c r="B719" s="271" t="s">
        <v>146</v>
      </c>
      <c r="C719" s="252" t="s">
        <v>194</v>
      </c>
      <c r="D719" s="252" t="s">
        <v>214</v>
      </c>
      <c r="E719" s="252" t="s">
        <v>1097</v>
      </c>
      <c r="F719" s="252" t="s">
        <v>104</v>
      </c>
      <c r="G719" s="257"/>
      <c r="H719" s="257"/>
      <c r="I719" s="257"/>
      <c r="J719" s="257"/>
      <c r="K719" s="257"/>
      <c r="L719" s="257"/>
      <c r="M719" s="257"/>
      <c r="N719" s="257"/>
      <c r="O719" s="257"/>
      <c r="P719" s="257"/>
      <c r="Q719" s="257"/>
      <c r="R719" s="257">
        <v>0</v>
      </c>
      <c r="S719" s="257">
        <v>0</v>
      </c>
      <c r="T719" s="257">
        <f t="shared" ref="T719" si="1246">R719+S719</f>
        <v>0</v>
      </c>
      <c r="U719" s="257">
        <v>0</v>
      </c>
      <c r="V719" s="257">
        <f t="shared" ref="V719" si="1247">T719+U719</f>
        <v>0</v>
      </c>
      <c r="W719" s="257">
        <v>0</v>
      </c>
      <c r="X719" s="257">
        <f t="shared" ref="X719" si="1248">V719+W719</f>
        <v>0</v>
      </c>
      <c r="Y719" s="257">
        <v>0</v>
      </c>
      <c r="Z719" s="257">
        <f t="shared" si="1242"/>
        <v>0</v>
      </c>
    </row>
    <row r="720" spans="1:26" ht="31.5" customHeight="1" x14ac:dyDescent="0.2">
      <c r="A720" s="259" t="s">
        <v>1096</v>
      </c>
      <c r="B720" s="271" t="s">
        <v>146</v>
      </c>
      <c r="C720" s="252" t="s">
        <v>194</v>
      </c>
      <c r="D720" s="252" t="s">
        <v>214</v>
      </c>
      <c r="E720" s="252" t="s">
        <v>1132</v>
      </c>
      <c r="F720" s="252" t="s">
        <v>94</v>
      </c>
      <c r="G720" s="257"/>
      <c r="H720" s="257"/>
      <c r="I720" s="257"/>
      <c r="J720" s="257"/>
      <c r="K720" s="257"/>
      <c r="L720" s="257"/>
      <c r="M720" s="257"/>
      <c r="N720" s="257"/>
      <c r="O720" s="257"/>
      <c r="P720" s="257"/>
      <c r="Q720" s="257"/>
      <c r="R720" s="257" t="e">
        <f>#REF!+#REF!</f>
        <v>#REF!</v>
      </c>
      <c r="S720" s="257" t="e">
        <f>#REF!+#REF!</f>
        <v>#REF!</v>
      </c>
      <c r="T720" s="257" t="e">
        <f>#REF!+#REF!</f>
        <v>#REF!</v>
      </c>
      <c r="U720" s="257" t="e">
        <f>#REF!+#REF!</f>
        <v>#REF!</v>
      </c>
      <c r="V720" s="257" t="e">
        <f>#REF!+#REF!</f>
        <v>#REF!</v>
      </c>
      <c r="W720" s="257" t="e">
        <f>#REF!+#REF!</f>
        <v>#REF!</v>
      </c>
      <c r="X720" s="257">
        <v>0</v>
      </c>
      <c r="Y720" s="257">
        <v>20</v>
      </c>
      <c r="Z720" s="257">
        <f t="shared" si="1242"/>
        <v>20</v>
      </c>
    </row>
    <row r="721" spans="1:26" ht="15.75" customHeight="1" x14ac:dyDescent="0.2">
      <c r="A721" s="462" t="s">
        <v>48</v>
      </c>
      <c r="B721" s="249">
        <v>801</v>
      </c>
      <c r="C721" s="250" t="s">
        <v>194</v>
      </c>
      <c r="D721" s="250" t="s">
        <v>208</v>
      </c>
      <c r="E721" s="250"/>
      <c r="F721" s="250"/>
      <c r="G721" s="275"/>
      <c r="H721" s="275">
        <f t="shared" ref="H721:Z721" si="1249">H722</f>
        <v>120</v>
      </c>
      <c r="I721" s="275">
        <f t="shared" si="1249"/>
        <v>0</v>
      </c>
      <c r="J721" s="275">
        <f t="shared" si="1249"/>
        <v>120</v>
      </c>
      <c r="K721" s="275">
        <f t="shared" si="1249"/>
        <v>0</v>
      </c>
      <c r="L721" s="275">
        <f t="shared" si="1249"/>
        <v>70</v>
      </c>
      <c r="M721" s="275">
        <f t="shared" si="1249"/>
        <v>70</v>
      </c>
      <c r="N721" s="275">
        <f t="shared" si="1249"/>
        <v>0</v>
      </c>
      <c r="O721" s="275">
        <f t="shared" si="1249"/>
        <v>70</v>
      </c>
      <c r="P721" s="275">
        <f t="shared" si="1249"/>
        <v>70</v>
      </c>
      <c r="Q721" s="275">
        <f t="shared" si="1249"/>
        <v>0</v>
      </c>
      <c r="R721" s="275">
        <f t="shared" si="1249"/>
        <v>70</v>
      </c>
      <c r="S721" s="275">
        <f t="shared" si="1249"/>
        <v>0</v>
      </c>
      <c r="T721" s="275">
        <f t="shared" si="1249"/>
        <v>70</v>
      </c>
      <c r="U721" s="275">
        <f t="shared" si="1249"/>
        <v>0</v>
      </c>
      <c r="V721" s="275">
        <f t="shared" si="1249"/>
        <v>20</v>
      </c>
      <c r="W721" s="275">
        <f t="shared" si="1249"/>
        <v>50</v>
      </c>
      <c r="X721" s="275">
        <f>X722</f>
        <v>0</v>
      </c>
      <c r="Y721" s="275">
        <f t="shared" si="1249"/>
        <v>70</v>
      </c>
      <c r="Z721" s="275">
        <f t="shared" si="1249"/>
        <v>70</v>
      </c>
    </row>
    <row r="722" spans="1:26" ht="39" customHeight="1" x14ac:dyDescent="0.2">
      <c r="A722" s="259" t="s">
        <v>981</v>
      </c>
      <c r="B722" s="271">
        <v>801</v>
      </c>
      <c r="C722" s="252" t="s">
        <v>194</v>
      </c>
      <c r="D722" s="252" t="s">
        <v>208</v>
      </c>
      <c r="E722" s="252" t="s">
        <v>803</v>
      </c>
      <c r="F722" s="252"/>
      <c r="G722" s="257">
        <f>G723+G724+G725</f>
        <v>0</v>
      </c>
      <c r="H722" s="257">
        <f>H723+H724+H725</f>
        <v>120</v>
      </c>
      <c r="I722" s="257">
        <f>I723+I724+I725</f>
        <v>0</v>
      </c>
      <c r="J722" s="257">
        <f t="shared" ref="J722:J725" si="1250">H722+I722</f>
        <v>120</v>
      </c>
      <c r="K722" s="257">
        <f>K723+K724+K725</f>
        <v>0</v>
      </c>
      <c r="L722" s="257">
        <f>L723+L724+L725</f>
        <v>70</v>
      </c>
      <c r="M722" s="257">
        <f>M723+M724+M725</f>
        <v>70</v>
      </c>
      <c r="N722" s="257">
        <f t="shared" ref="N722:Z722" si="1251">N723+N724+N725</f>
        <v>0</v>
      </c>
      <c r="O722" s="257">
        <f t="shared" si="1251"/>
        <v>70</v>
      </c>
      <c r="P722" s="257">
        <f t="shared" si="1251"/>
        <v>70</v>
      </c>
      <c r="Q722" s="257">
        <f t="shared" si="1251"/>
        <v>0</v>
      </c>
      <c r="R722" s="257">
        <f t="shared" si="1251"/>
        <v>70</v>
      </c>
      <c r="S722" s="257">
        <f t="shared" si="1251"/>
        <v>0</v>
      </c>
      <c r="T722" s="257">
        <f t="shared" si="1251"/>
        <v>70</v>
      </c>
      <c r="U722" s="257">
        <f t="shared" si="1251"/>
        <v>0</v>
      </c>
      <c r="V722" s="257">
        <f t="shared" si="1251"/>
        <v>20</v>
      </c>
      <c r="W722" s="257">
        <f t="shared" si="1251"/>
        <v>50</v>
      </c>
      <c r="X722" s="257">
        <f t="shared" si="1251"/>
        <v>0</v>
      </c>
      <c r="Y722" s="257">
        <f t="shared" si="1251"/>
        <v>70</v>
      </c>
      <c r="Z722" s="257">
        <f t="shared" si="1251"/>
        <v>70</v>
      </c>
    </row>
    <row r="723" spans="1:26" ht="31.5" customHeight="1" x14ac:dyDescent="0.2">
      <c r="A723" s="259" t="s">
        <v>513</v>
      </c>
      <c r="B723" s="271">
        <v>801</v>
      </c>
      <c r="C723" s="252" t="s">
        <v>194</v>
      </c>
      <c r="D723" s="252" t="s">
        <v>208</v>
      </c>
      <c r="E723" s="252" t="s">
        <v>802</v>
      </c>
      <c r="F723" s="252" t="s">
        <v>94</v>
      </c>
      <c r="G723" s="257"/>
      <c r="H723" s="257">
        <v>10</v>
      </c>
      <c r="I723" s="257">
        <v>0</v>
      </c>
      <c r="J723" s="257">
        <f t="shared" si="1250"/>
        <v>10</v>
      </c>
      <c r="K723" s="257">
        <v>0</v>
      </c>
      <c r="L723" s="257">
        <v>10</v>
      </c>
      <c r="M723" s="257">
        <v>10</v>
      </c>
      <c r="N723" s="257">
        <v>0</v>
      </c>
      <c r="O723" s="257">
        <f>M723+N723</f>
        <v>10</v>
      </c>
      <c r="P723" s="257">
        <v>10</v>
      </c>
      <c r="Q723" s="257">
        <v>0</v>
      </c>
      <c r="R723" s="257">
        <f t="shared" ref="R723:R725" si="1252">P723+Q723</f>
        <v>10</v>
      </c>
      <c r="S723" s="257">
        <v>0</v>
      </c>
      <c r="T723" s="257">
        <f t="shared" ref="T723:T725" si="1253">R723+S723</f>
        <v>10</v>
      </c>
      <c r="U723" s="257">
        <v>0</v>
      </c>
      <c r="V723" s="257">
        <v>10</v>
      </c>
      <c r="W723" s="257">
        <v>0</v>
      </c>
      <c r="X723" s="257">
        <v>0</v>
      </c>
      <c r="Y723" s="257">
        <v>10</v>
      </c>
      <c r="Z723" s="257">
        <f t="shared" ref="Z723:Z725" si="1254">X723+Y723</f>
        <v>10</v>
      </c>
    </row>
    <row r="724" spans="1:26" ht="32.25" customHeight="1" x14ac:dyDescent="0.2">
      <c r="A724" s="259" t="s">
        <v>737</v>
      </c>
      <c r="B724" s="271">
        <v>801</v>
      </c>
      <c r="C724" s="252" t="s">
        <v>194</v>
      </c>
      <c r="D724" s="252" t="s">
        <v>208</v>
      </c>
      <c r="E724" s="252" t="s">
        <v>801</v>
      </c>
      <c r="F724" s="252" t="s">
        <v>94</v>
      </c>
      <c r="G724" s="257"/>
      <c r="H724" s="257">
        <v>10</v>
      </c>
      <c r="I724" s="257">
        <v>0</v>
      </c>
      <c r="J724" s="257">
        <f t="shared" si="1250"/>
        <v>10</v>
      </c>
      <c r="K724" s="257">
        <v>0</v>
      </c>
      <c r="L724" s="257">
        <v>10</v>
      </c>
      <c r="M724" s="257">
        <v>10</v>
      </c>
      <c r="N724" s="257">
        <v>0</v>
      </c>
      <c r="O724" s="257">
        <f t="shared" ref="O724:O725" si="1255">M724+N724</f>
        <v>10</v>
      </c>
      <c r="P724" s="257">
        <v>10</v>
      </c>
      <c r="Q724" s="257">
        <v>0</v>
      </c>
      <c r="R724" s="257">
        <f t="shared" si="1252"/>
        <v>10</v>
      </c>
      <c r="S724" s="257">
        <v>0</v>
      </c>
      <c r="T724" s="257">
        <f t="shared" si="1253"/>
        <v>10</v>
      </c>
      <c r="U724" s="257">
        <v>0</v>
      </c>
      <c r="V724" s="257">
        <v>10</v>
      </c>
      <c r="W724" s="257">
        <v>0</v>
      </c>
      <c r="X724" s="257">
        <v>0</v>
      </c>
      <c r="Y724" s="257">
        <v>10</v>
      </c>
      <c r="Z724" s="257">
        <f t="shared" si="1254"/>
        <v>10</v>
      </c>
    </row>
    <row r="725" spans="1:26" ht="16.5" customHeight="1" x14ac:dyDescent="0.2">
      <c r="A725" s="259" t="s">
        <v>514</v>
      </c>
      <c r="B725" s="271">
        <v>801</v>
      </c>
      <c r="C725" s="252" t="s">
        <v>194</v>
      </c>
      <c r="D725" s="252" t="s">
        <v>208</v>
      </c>
      <c r="E725" s="252" t="s">
        <v>800</v>
      </c>
      <c r="F725" s="252" t="s">
        <v>94</v>
      </c>
      <c r="G725" s="257"/>
      <c r="H725" s="257">
        <v>100</v>
      </c>
      <c r="I725" s="257">
        <v>0</v>
      </c>
      <c r="J725" s="257">
        <f t="shared" si="1250"/>
        <v>100</v>
      </c>
      <c r="K725" s="257">
        <v>0</v>
      </c>
      <c r="L725" s="257">
        <v>50</v>
      </c>
      <c r="M725" s="257">
        <v>50</v>
      </c>
      <c r="N725" s="257">
        <v>0</v>
      </c>
      <c r="O725" s="257">
        <f t="shared" si="1255"/>
        <v>50</v>
      </c>
      <c r="P725" s="257">
        <v>50</v>
      </c>
      <c r="Q725" s="257">
        <v>0</v>
      </c>
      <c r="R725" s="257">
        <f t="shared" si="1252"/>
        <v>50</v>
      </c>
      <c r="S725" s="257">
        <v>0</v>
      </c>
      <c r="T725" s="257">
        <f t="shared" si="1253"/>
        <v>50</v>
      </c>
      <c r="U725" s="257">
        <v>0</v>
      </c>
      <c r="V725" s="257">
        <v>0</v>
      </c>
      <c r="W725" s="257">
        <v>50</v>
      </c>
      <c r="X725" s="257">
        <v>0</v>
      </c>
      <c r="Y725" s="257">
        <v>50</v>
      </c>
      <c r="Z725" s="257">
        <f t="shared" si="1254"/>
        <v>50</v>
      </c>
    </row>
    <row r="726" spans="1:26" s="430" customFormat="1" ht="14.25" x14ac:dyDescent="0.2">
      <c r="A726" s="462" t="s">
        <v>306</v>
      </c>
      <c r="B726" s="249">
        <v>801</v>
      </c>
      <c r="C726" s="250" t="s">
        <v>196</v>
      </c>
      <c r="D726" s="250"/>
      <c r="E726" s="250"/>
      <c r="F726" s="250"/>
      <c r="G726" s="275" t="e">
        <f>G727+G762+G764+G768</f>
        <v>#REF!</v>
      </c>
      <c r="H726" s="275" t="e">
        <f>H727+H762+H764+H768</f>
        <v>#REF!</v>
      </c>
      <c r="I726" s="275" t="e">
        <f>I727+I762+I764+I768</f>
        <v>#REF!</v>
      </c>
      <c r="J726" s="275" t="e">
        <f>J727+J762+J764+J768</f>
        <v>#REF!</v>
      </c>
      <c r="K726" s="275" t="e">
        <f>K727+K762+K764+K768</f>
        <v>#REF!</v>
      </c>
      <c r="L726" s="275" t="e">
        <f t="shared" ref="L726:U726" si="1256">L727+L764+L768</f>
        <v>#REF!</v>
      </c>
      <c r="M726" s="275" t="e">
        <f t="shared" si="1256"/>
        <v>#REF!</v>
      </c>
      <c r="N726" s="275" t="e">
        <f t="shared" si="1256"/>
        <v>#REF!</v>
      </c>
      <c r="O726" s="275" t="e">
        <f t="shared" si="1256"/>
        <v>#REF!</v>
      </c>
      <c r="P726" s="275" t="e">
        <f t="shared" si="1256"/>
        <v>#REF!</v>
      </c>
      <c r="Q726" s="275" t="e">
        <f t="shared" si="1256"/>
        <v>#REF!</v>
      </c>
      <c r="R726" s="275" t="e">
        <f t="shared" si="1256"/>
        <v>#REF!</v>
      </c>
      <c r="S726" s="275" t="e">
        <f t="shared" si="1256"/>
        <v>#REF!</v>
      </c>
      <c r="T726" s="275">
        <f t="shared" si="1256"/>
        <v>12343</v>
      </c>
      <c r="U726" s="275">
        <f t="shared" si="1256"/>
        <v>-3952.2999999999993</v>
      </c>
      <c r="V726" s="275">
        <f>V727+V764+V768+V762</f>
        <v>46331.61</v>
      </c>
      <c r="W726" s="275">
        <f t="shared" ref="W726:X726" si="1257">W727+W764+W768+W762</f>
        <v>-19677.11</v>
      </c>
      <c r="X726" s="275">
        <f t="shared" si="1257"/>
        <v>19628.909243999999</v>
      </c>
      <c r="Y726" s="275">
        <f t="shared" ref="Y726:Z726" si="1258">Y727+Y764+Y768+Y762</f>
        <v>1035.75</v>
      </c>
      <c r="Z726" s="275">
        <f t="shared" si="1258"/>
        <v>20664.659243999999</v>
      </c>
    </row>
    <row r="727" spans="1:26" x14ac:dyDescent="0.2">
      <c r="A727" s="462" t="s">
        <v>217</v>
      </c>
      <c r="B727" s="249">
        <v>801</v>
      </c>
      <c r="C727" s="250" t="s">
        <v>196</v>
      </c>
      <c r="D727" s="250" t="s">
        <v>198</v>
      </c>
      <c r="E727" s="250"/>
      <c r="F727" s="250"/>
      <c r="G727" s="257">
        <f>G731+G736+G750+G753+G756+G759</f>
        <v>0</v>
      </c>
      <c r="H727" s="275">
        <f t="shared" ref="H727:Q727" si="1259">H750+H753+H756+H759</f>
        <v>2737.8</v>
      </c>
      <c r="I727" s="275">
        <f t="shared" si="1259"/>
        <v>0</v>
      </c>
      <c r="J727" s="275">
        <f t="shared" si="1259"/>
        <v>2737.8</v>
      </c>
      <c r="K727" s="275">
        <f t="shared" si="1259"/>
        <v>-563.1</v>
      </c>
      <c r="L727" s="275">
        <f t="shared" si="1259"/>
        <v>2511.4</v>
      </c>
      <c r="M727" s="275">
        <f t="shared" si="1259"/>
        <v>2511.4</v>
      </c>
      <c r="N727" s="275">
        <f t="shared" si="1259"/>
        <v>-117.70000000000002</v>
      </c>
      <c r="O727" s="275">
        <f t="shared" si="1259"/>
        <v>2393.7000000000003</v>
      </c>
      <c r="P727" s="275">
        <f t="shared" si="1259"/>
        <v>2432.1</v>
      </c>
      <c r="Q727" s="275">
        <f t="shared" si="1259"/>
        <v>-9.2000000000000028</v>
      </c>
      <c r="R727" s="275">
        <f>R750+R753+R756+R759</f>
        <v>2422.9</v>
      </c>
      <c r="S727" s="275">
        <f t="shared" ref="S727:T727" si="1260">S750+S753+S756+S759</f>
        <v>413.2</v>
      </c>
      <c r="T727" s="275">
        <f t="shared" si="1260"/>
        <v>2836.1</v>
      </c>
      <c r="U727" s="275">
        <f t="shared" ref="U727:V727" si="1261">U750+U753+U756+U759</f>
        <v>57.6</v>
      </c>
      <c r="V727" s="275">
        <f t="shared" si="1261"/>
        <v>2848.7</v>
      </c>
      <c r="W727" s="275">
        <f t="shared" ref="W727:X727" si="1262">W750+W753+W756+W759</f>
        <v>193.5</v>
      </c>
      <c r="X727" s="275">
        <f t="shared" si="1262"/>
        <v>3229.8</v>
      </c>
      <c r="Y727" s="275">
        <f t="shared" ref="Y727:Z727" si="1263">Y750+Y753+Y756+Y759</f>
        <v>355.6</v>
      </c>
      <c r="Z727" s="275">
        <f t="shared" si="1263"/>
        <v>3585.4</v>
      </c>
    </row>
    <row r="728" spans="1:26" ht="28.5" hidden="1" customHeight="1" x14ac:dyDescent="0.2">
      <c r="A728" s="259" t="s">
        <v>123</v>
      </c>
      <c r="B728" s="271">
        <v>801</v>
      </c>
      <c r="C728" s="252" t="s">
        <v>196</v>
      </c>
      <c r="D728" s="252" t="s">
        <v>198</v>
      </c>
      <c r="E728" s="252" t="s">
        <v>332</v>
      </c>
      <c r="F728" s="250"/>
      <c r="G728" s="257"/>
      <c r="H728" s="257"/>
      <c r="I728" s="257">
        <f t="shared" ref="I728:Y729" si="1264">I729</f>
        <v>-1302</v>
      </c>
      <c r="J728" s="257">
        <f t="shared" si="1264"/>
        <v>-1302</v>
      </c>
      <c r="K728" s="257">
        <f t="shared" si="1264"/>
        <v>-1302</v>
      </c>
      <c r="L728" s="257">
        <f t="shared" si="1264"/>
        <v>-1302</v>
      </c>
      <c r="M728" s="257">
        <f t="shared" si="1264"/>
        <v>-2604</v>
      </c>
      <c r="N728" s="257">
        <f t="shared" si="1264"/>
        <v>-2604</v>
      </c>
      <c r="O728" s="257">
        <f t="shared" si="1264"/>
        <v>-3906</v>
      </c>
      <c r="P728" s="257">
        <f t="shared" si="1264"/>
        <v>-3906</v>
      </c>
      <c r="Q728" s="257">
        <f t="shared" si="1264"/>
        <v>-6510</v>
      </c>
      <c r="R728" s="257">
        <f t="shared" si="1264"/>
        <v>-6510</v>
      </c>
      <c r="S728" s="257">
        <f t="shared" si="1264"/>
        <v>-10416</v>
      </c>
      <c r="T728" s="257">
        <f t="shared" si="1264"/>
        <v>-10416</v>
      </c>
      <c r="U728" s="257">
        <f t="shared" si="1264"/>
        <v>-16926</v>
      </c>
      <c r="V728" s="257">
        <f t="shared" si="1264"/>
        <v>-16926</v>
      </c>
      <c r="W728" s="257">
        <f t="shared" si="1264"/>
        <v>-27342</v>
      </c>
      <c r="X728" s="257">
        <f t="shared" si="1264"/>
        <v>-27342</v>
      </c>
      <c r="Y728" s="257">
        <f t="shared" si="1264"/>
        <v>-44268</v>
      </c>
      <c r="Z728" s="257">
        <f t="shared" ref="Y728:Z729" si="1265">Z729</f>
        <v>-44268</v>
      </c>
    </row>
    <row r="729" spans="1:26" hidden="1" x14ac:dyDescent="0.2">
      <c r="A729" s="259" t="s">
        <v>333</v>
      </c>
      <c r="B729" s="271">
        <v>801</v>
      </c>
      <c r="C729" s="252" t="s">
        <v>196</v>
      </c>
      <c r="D729" s="252" t="s">
        <v>198</v>
      </c>
      <c r="E729" s="252" t="s">
        <v>334</v>
      </c>
      <c r="F729" s="252"/>
      <c r="G729" s="257"/>
      <c r="H729" s="257"/>
      <c r="I729" s="257">
        <f t="shared" si="1264"/>
        <v>-1302</v>
      </c>
      <c r="J729" s="257">
        <f t="shared" si="1264"/>
        <v>-1302</v>
      </c>
      <c r="K729" s="257">
        <f t="shared" si="1264"/>
        <v>-1302</v>
      </c>
      <c r="L729" s="257">
        <f t="shared" si="1264"/>
        <v>-1302</v>
      </c>
      <c r="M729" s="257">
        <f t="shared" si="1264"/>
        <v>-2604</v>
      </c>
      <c r="N729" s="257">
        <f t="shared" si="1264"/>
        <v>-2604</v>
      </c>
      <c r="O729" s="257">
        <f t="shared" si="1264"/>
        <v>-3906</v>
      </c>
      <c r="P729" s="257">
        <f t="shared" si="1264"/>
        <v>-3906</v>
      </c>
      <c r="Q729" s="257">
        <f t="shared" si="1264"/>
        <v>-6510</v>
      </c>
      <c r="R729" s="257">
        <f t="shared" si="1264"/>
        <v>-6510</v>
      </c>
      <c r="S729" s="257">
        <f t="shared" si="1264"/>
        <v>-10416</v>
      </c>
      <c r="T729" s="257">
        <f t="shared" si="1264"/>
        <v>-10416</v>
      </c>
      <c r="U729" s="257">
        <f t="shared" si="1264"/>
        <v>-16926</v>
      </c>
      <c r="V729" s="257">
        <f t="shared" si="1264"/>
        <v>-16926</v>
      </c>
      <c r="W729" s="257">
        <f t="shared" si="1264"/>
        <v>-27342</v>
      </c>
      <c r="X729" s="257">
        <f t="shared" si="1264"/>
        <v>-27342</v>
      </c>
      <c r="Y729" s="257">
        <f t="shared" si="1265"/>
        <v>-44268</v>
      </c>
      <c r="Z729" s="257">
        <f t="shared" si="1265"/>
        <v>-44268</v>
      </c>
    </row>
    <row r="730" spans="1:26" hidden="1" x14ac:dyDescent="0.2">
      <c r="A730" s="259" t="s">
        <v>95</v>
      </c>
      <c r="B730" s="271">
        <v>801</v>
      </c>
      <c r="C730" s="252" t="s">
        <v>196</v>
      </c>
      <c r="D730" s="252" t="s">
        <v>198</v>
      </c>
      <c r="E730" s="252" t="s">
        <v>334</v>
      </c>
      <c r="F730" s="252" t="s">
        <v>96</v>
      </c>
      <c r="G730" s="257"/>
      <c r="H730" s="257"/>
      <c r="I730" s="257">
        <v>-1302</v>
      </c>
      <c r="J730" s="257">
        <f>G730+I730</f>
        <v>-1302</v>
      </c>
      <c r="K730" s="257">
        <v>-1302</v>
      </c>
      <c r="L730" s="257">
        <f>H730+J730</f>
        <v>-1302</v>
      </c>
      <c r="M730" s="257">
        <f>I730+K730</f>
        <v>-2604</v>
      </c>
      <c r="N730" s="257">
        <f t="shared" ref="N730:O730" si="1266">J730+L730</f>
        <v>-2604</v>
      </c>
      <c r="O730" s="257">
        <f t="shared" si="1266"/>
        <v>-3906</v>
      </c>
      <c r="P730" s="257">
        <f>L730+N730</f>
        <v>-3906</v>
      </c>
      <c r="Q730" s="257">
        <f t="shared" ref="Q730:R730" si="1267">M730+O730</f>
        <v>-6510</v>
      </c>
      <c r="R730" s="257">
        <f t="shared" si="1267"/>
        <v>-6510</v>
      </c>
      <c r="S730" s="257">
        <f t="shared" ref="S730" si="1268">O730+Q730</f>
        <v>-10416</v>
      </c>
      <c r="T730" s="257">
        <f t="shared" ref="T730" si="1269">P730+R730</f>
        <v>-10416</v>
      </c>
      <c r="U730" s="257">
        <f t="shared" ref="U730" si="1270">Q730+S730</f>
        <v>-16926</v>
      </c>
      <c r="V730" s="257">
        <f t="shared" ref="V730" si="1271">R730+T730</f>
        <v>-16926</v>
      </c>
      <c r="W730" s="257">
        <f t="shared" ref="W730" si="1272">S730+U730</f>
        <v>-27342</v>
      </c>
      <c r="X730" s="257">
        <f t="shared" ref="X730" si="1273">T730+V730</f>
        <v>-27342</v>
      </c>
      <c r="Y730" s="257">
        <f t="shared" ref="Y730" si="1274">U730+W730</f>
        <v>-44268</v>
      </c>
      <c r="Z730" s="257">
        <f t="shared" ref="Z730" si="1275">V730+X730</f>
        <v>-44268</v>
      </c>
    </row>
    <row r="731" spans="1:26" ht="18" hidden="1" customHeight="1" x14ac:dyDescent="0.2">
      <c r="A731" s="259" t="s">
        <v>973</v>
      </c>
      <c r="B731" s="271">
        <v>801</v>
      </c>
      <c r="C731" s="252" t="s">
        <v>196</v>
      </c>
      <c r="D731" s="252" t="s">
        <v>198</v>
      </c>
      <c r="E731" s="252" t="s">
        <v>462</v>
      </c>
      <c r="F731" s="252"/>
      <c r="G731" s="257">
        <f t="shared" ref="G731:R731" si="1276">G732+G734</f>
        <v>0</v>
      </c>
      <c r="H731" s="257"/>
      <c r="I731" s="257">
        <f t="shared" si="1276"/>
        <v>-1750.2</v>
      </c>
      <c r="J731" s="257" t="e">
        <f t="shared" si="1276"/>
        <v>#REF!</v>
      </c>
      <c r="K731" s="257">
        <f t="shared" si="1276"/>
        <v>-1750.2</v>
      </c>
      <c r="L731" s="257" t="e">
        <f>L732+L734</f>
        <v>#REF!</v>
      </c>
      <c r="M731" s="257" t="e">
        <f t="shared" si="1276"/>
        <v>#REF!</v>
      </c>
      <c r="N731" s="257" t="e">
        <f t="shared" si="1276"/>
        <v>#REF!</v>
      </c>
      <c r="O731" s="257" t="e">
        <f t="shared" si="1276"/>
        <v>#REF!</v>
      </c>
      <c r="P731" s="257" t="e">
        <f t="shared" si="1276"/>
        <v>#REF!</v>
      </c>
      <c r="Q731" s="257" t="e">
        <f t="shared" si="1276"/>
        <v>#REF!</v>
      </c>
      <c r="R731" s="257" t="e">
        <f t="shared" si="1276"/>
        <v>#REF!</v>
      </c>
      <c r="S731" s="257" t="e">
        <f t="shared" ref="S731:T731" si="1277">S732+S734</f>
        <v>#REF!</v>
      </c>
      <c r="T731" s="257" t="e">
        <f t="shared" si="1277"/>
        <v>#REF!</v>
      </c>
      <c r="U731" s="257" t="e">
        <f t="shared" ref="U731:V731" si="1278">U732+U734</f>
        <v>#REF!</v>
      </c>
      <c r="V731" s="257" t="e">
        <f t="shared" si="1278"/>
        <v>#REF!</v>
      </c>
      <c r="W731" s="257" t="e">
        <f t="shared" ref="W731:X731" si="1279">W732+W734</f>
        <v>#REF!</v>
      </c>
      <c r="X731" s="257" t="e">
        <f t="shared" si="1279"/>
        <v>#REF!</v>
      </c>
      <c r="Y731" s="257" t="e">
        <f t="shared" ref="Y731:Z731" si="1280">Y732+Y734</f>
        <v>#REF!</v>
      </c>
      <c r="Z731" s="257" t="e">
        <f t="shared" si="1280"/>
        <v>#REF!</v>
      </c>
    </row>
    <row r="732" spans="1:26" ht="42.75" hidden="1" customHeight="1" x14ac:dyDescent="0.2">
      <c r="A732" s="259" t="s">
        <v>982</v>
      </c>
      <c r="B732" s="271">
        <v>801</v>
      </c>
      <c r="C732" s="252" t="s">
        <v>196</v>
      </c>
      <c r="D732" s="252" t="s">
        <v>198</v>
      </c>
      <c r="E732" s="252" t="s">
        <v>515</v>
      </c>
      <c r="F732" s="252"/>
      <c r="G732" s="257"/>
      <c r="H732" s="257"/>
      <c r="I732" s="257">
        <f>I733</f>
        <v>-1450.2</v>
      </c>
      <c r="J732" s="257" t="e">
        <f>J733</f>
        <v>#REF!</v>
      </c>
      <c r="K732" s="257">
        <f>K733</f>
        <v>-1450.2</v>
      </c>
      <c r="L732" s="257" t="e">
        <f>L733</f>
        <v>#REF!</v>
      </c>
      <c r="M732" s="257" t="e">
        <f>M733</f>
        <v>#REF!</v>
      </c>
      <c r="N732" s="257" t="e">
        <f t="shared" ref="N732:Z732" si="1281">N733</f>
        <v>#REF!</v>
      </c>
      <c r="O732" s="257" t="e">
        <f t="shared" si="1281"/>
        <v>#REF!</v>
      </c>
      <c r="P732" s="257" t="e">
        <f t="shared" si="1281"/>
        <v>#REF!</v>
      </c>
      <c r="Q732" s="257" t="e">
        <f t="shared" si="1281"/>
        <v>#REF!</v>
      </c>
      <c r="R732" s="257" t="e">
        <f t="shared" si="1281"/>
        <v>#REF!</v>
      </c>
      <c r="S732" s="257" t="e">
        <f t="shared" si="1281"/>
        <v>#REF!</v>
      </c>
      <c r="T732" s="257" t="e">
        <f t="shared" si="1281"/>
        <v>#REF!</v>
      </c>
      <c r="U732" s="257" t="e">
        <f t="shared" si="1281"/>
        <v>#REF!</v>
      </c>
      <c r="V732" s="257" t="e">
        <f t="shared" si="1281"/>
        <v>#REF!</v>
      </c>
      <c r="W732" s="257" t="e">
        <f t="shared" si="1281"/>
        <v>#REF!</v>
      </c>
      <c r="X732" s="257" t="e">
        <f t="shared" si="1281"/>
        <v>#REF!</v>
      </c>
      <c r="Y732" s="257" t="e">
        <f t="shared" si="1281"/>
        <v>#REF!</v>
      </c>
      <c r="Z732" s="257" t="e">
        <f t="shared" si="1281"/>
        <v>#REF!</v>
      </c>
    </row>
    <row r="733" spans="1:26" ht="18.75" hidden="1" customHeight="1" x14ac:dyDescent="0.2">
      <c r="A733" s="259" t="s">
        <v>95</v>
      </c>
      <c r="B733" s="271">
        <v>801</v>
      </c>
      <c r="C733" s="252" t="s">
        <v>196</v>
      </c>
      <c r="D733" s="252" t="s">
        <v>198</v>
      </c>
      <c r="E733" s="252" t="s">
        <v>515</v>
      </c>
      <c r="F733" s="252" t="s">
        <v>96</v>
      </c>
      <c r="G733" s="257"/>
      <c r="H733" s="257"/>
      <c r="I733" s="257">
        <v>-1450.2</v>
      </c>
      <c r="J733" s="257" t="e">
        <f>#REF!+I733</f>
        <v>#REF!</v>
      </c>
      <c r="K733" s="257">
        <v>-1450.2</v>
      </c>
      <c r="L733" s="257" t="e">
        <f>#REF!+J733</f>
        <v>#REF!</v>
      </c>
      <c r="M733" s="257" t="e">
        <f>#REF!+K733</f>
        <v>#REF!</v>
      </c>
      <c r="N733" s="257" t="e">
        <f>#REF!+L733</f>
        <v>#REF!</v>
      </c>
      <c r="O733" s="257" t="e">
        <f>#REF!+M733</f>
        <v>#REF!</v>
      </c>
      <c r="P733" s="257" t="e">
        <f>#REF!+N733</f>
        <v>#REF!</v>
      </c>
      <c r="Q733" s="257" t="e">
        <f>#REF!+O733</f>
        <v>#REF!</v>
      </c>
      <c r="R733" s="257" t="e">
        <f>#REF!+P733</f>
        <v>#REF!</v>
      </c>
      <c r="S733" s="257" t="e">
        <f>#REF!+Q733</f>
        <v>#REF!</v>
      </c>
      <c r="T733" s="257" t="e">
        <f>#REF!+R733</f>
        <v>#REF!</v>
      </c>
      <c r="U733" s="257" t="e">
        <f>#REF!+S733</f>
        <v>#REF!</v>
      </c>
      <c r="V733" s="257" t="e">
        <f>#REF!+T733</f>
        <v>#REF!</v>
      </c>
      <c r="W733" s="257" t="e">
        <f>#REF!+U733</f>
        <v>#REF!</v>
      </c>
      <c r="X733" s="257" t="e">
        <f>#REF!+V733</f>
        <v>#REF!</v>
      </c>
      <c r="Y733" s="257" t="e">
        <f>#REF!+W733</f>
        <v>#REF!</v>
      </c>
      <c r="Z733" s="257" t="e">
        <f>#REF!+X733</f>
        <v>#REF!</v>
      </c>
    </row>
    <row r="734" spans="1:26" ht="39.75" hidden="1" customHeight="1" x14ac:dyDescent="0.2">
      <c r="A734" s="259" t="s">
        <v>983</v>
      </c>
      <c r="B734" s="271">
        <v>801</v>
      </c>
      <c r="C734" s="252" t="s">
        <v>196</v>
      </c>
      <c r="D734" s="252" t="s">
        <v>198</v>
      </c>
      <c r="E734" s="252" t="s">
        <v>516</v>
      </c>
      <c r="F734" s="251"/>
      <c r="G734" s="257"/>
      <c r="H734" s="257"/>
      <c r="I734" s="257">
        <f>I735</f>
        <v>-300</v>
      </c>
      <c r="J734" s="257" t="e">
        <f>J735</f>
        <v>#REF!</v>
      </c>
      <c r="K734" s="257">
        <f>K735</f>
        <v>-300</v>
      </c>
      <c r="L734" s="257" t="e">
        <f>L735</f>
        <v>#REF!</v>
      </c>
      <c r="M734" s="257" t="e">
        <f>M735</f>
        <v>#REF!</v>
      </c>
      <c r="N734" s="257" t="e">
        <f t="shared" ref="N734:Z734" si="1282">N735</f>
        <v>#REF!</v>
      </c>
      <c r="O734" s="257" t="e">
        <f t="shared" si="1282"/>
        <v>#REF!</v>
      </c>
      <c r="P734" s="257" t="e">
        <f t="shared" si="1282"/>
        <v>#REF!</v>
      </c>
      <c r="Q734" s="257" t="e">
        <f t="shared" si="1282"/>
        <v>#REF!</v>
      </c>
      <c r="R734" s="257" t="e">
        <f t="shared" si="1282"/>
        <v>#REF!</v>
      </c>
      <c r="S734" s="257" t="e">
        <f t="shared" si="1282"/>
        <v>#REF!</v>
      </c>
      <c r="T734" s="257" t="e">
        <f t="shared" si="1282"/>
        <v>#REF!</v>
      </c>
      <c r="U734" s="257" t="e">
        <f t="shared" si="1282"/>
        <v>#REF!</v>
      </c>
      <c r="V734" s="257" t="e">
        <f t="shared" si="1282"/>
        <v>#REF!</v>
      </c>
      <c r="W734" s="257" t="e">
        <f t="shared" si="1282"/>
        <v>#REF!</v>
      </c>
      <c r="X734" s="257" t="e">
        <f t="shared" si="1282"/>
        <v>#REF!</v>
      </c>
      <c r="Y734" s="257" t="e">
        <f t="shared" si="1282"/>
        <v>#REF!</v>
      </c>
      <c r="Z734" s="257" t="e">
        <f t="shared" si="1282"/>
        <v>#REF!</v>
      </c>
    </row>
    <row r="735" spans="1:26" ht="21.75" hidden="1" customHeight="1" x14ac:dyDescent="0.2">
      <c r="A735" s="259" t="s">
        <v>721</v>
      </c>
      <c r="B735" s="271">
        <v>801</v>
      </c>
      <c r="C735" s="252" t="s">
        <v>196</v>
      </c>
      <c r="D735" s="252" t="s">
        <v>198</v>
      </c>
      <c r="E735" s="252" t="s">
        <v>517</v>
      </c>
      <c r="F735" s="252" t="s">
        <v>94</v>
      </c>
      <c r="G735" s="257"/>
      <c r="H735" s="257"/>
      <c r="I735" s="257">
        <v>-300</v>
      </c>
      <c r="J735" s="257" t="e">
        <f>#REF!+I735</f>
        <v>#REF!</v>
      </c>
      <c r="K735" s="257">
        <v>-300</v>
      </c>
      <c r="L735" s="257" t="e">
        <f>#REF!+J735</f>
        <v>#REF!</v>
      </c>
      <c r="M735" s="257" t="e">
        <f>#REF!+K735</f>
        <v>#REF!</v>
      </c>
      <c r="N735" s="257" t="e">
        <f>#REF!+L735</f>
        <v>#REF!</v>
      </c>
      <c r="O735" s="257" t="e">
        <f>#REF!+M735</f>
        <v>#REF!</v>
      </c>
      <c r="P735" s="257" t="e">
        <f>#REF!+N735</f>
        <v>#REF!</v>
      </c>
      <c r="Q735" s="257" t="e">
        <f>#REF!+O735</f>
        <v>#REF!</v>
      </c>
      <c r="R735" s="257" t="e">
        <f>#REF!+P735</f>
        <v>#REF!</v>
      </c>
      <c r="S735" s="257" t="e">
        <f>#REF!+Q735</f>
        <v>#REF!</v>
      </c>
      <c r="T735" s="257" t="e">
        <f>#REF!+R735</f>
        <v>#REF!</v>
      </c>
      <c r="U735" s="257" t="e">
        <f>#REF!+S735</f>
        <v>#REF!</v>
      </c>
      <c r="V735" s="257" t="e">
        <f>#REF!+T735</f>
        <v>#REF!</v>
      </c>
      <c r="W735" s="257" t="e">
        <f>#REF!+U735</f>
        <v>#REF!</v>
      </c>
      <c r="X735" s="257" t="e">
        <f>#REF!+V735</f>
        <v>#REF!</v>
      </c>
      <c r="Y735" s="257" t="e">
        <f>#REF!+W735</f>
        <v>#REF!</v>
      </c>
      <c r="Z735" s="257" t="e">
        <f>#REF!+X735</f>
        <v>#REF!</v>
      </c>
    </row>
    <row r="736" spans="1:26" ht="39.75" hidden="1" customHeight="1" x14ac:dyDescent="0.2">
      <c r="A736" s="376" t="s">
        <v>732</v>
      </c>
      <c r="B736" s="271">
        <v>801</v>
      </c>
      <c r="C736" s="272" t="s">
        <v>196</v>
      </c>
      <c r="D736" s="272" t="s">
        <v>198</v>
      </c>
      <c r="E736" s="272" t="s">
        <v>518</v>
      </c>
      <c r="F736" s="272"/>
      <c r="G736" s="257"/>
      <c r="H736" s="257"/>
      <c r="I736" s="257">
        <f>I737+I739</f>
        <v>-876.2</v>
      </c>
      <c r="J736" s="257" t="e">
        <f>J737+J739</f>
        <v>#REF!</v>
      </c>
      <c r="K736" s="257">
        <f>K737+K739</f>
        <v>-876.2</v>
      </c>
      <c r="L736" s="257" t="e">
        <f>L737+L739</f>
        <v>#REF!</v>
      </c>
      <c r="M736" s="257" t="e">
        <f>M737+M739</f>
        <v>#REF!</v>
      </c>
      <c r="N736" s="257" t="e">
        <f t="shared" ref="N736:R736" si="1283">N737+N739</f>
        <v>#REF!</v>
      </c>
      <c r="O736" s="257" t="e">
        <f t="shared" si="1283"/>
        <v>#REF!</v>
      </c>
      <c r="P736" s="257" t="e">
        <f t="shared" si="1283"/>
        <v>#REF!</v>
      </c>
      <c r="Q736" s="257" t="e">
        <f t="shared" si="1283"/>
        <v>#REF!</v>
      </c>
      <c r="R736" s="257" t="e">
        <f t="shared" si="1283"/>
        <v>#REF!</v>
      </c>
      <c r="S736" s="257" t="e">
        <f t="shared" ref="S736:T736" si="1284">S737+S739</f>
        <v>#REF!</v>
      </c>
      <c r="T736" s="257" t="e">
        <f t="shared" si="1284"/>
        <v>#REF!</v>
      </c>
      <c r="U736" s="257" t="e">
        <f t="shared" ref="U736:V736" si="1285">U737+U739</f>
        <v>#REF!</v>
      </c>
      <c r="V736" s="257" t="e">
        <f t="shared" si="1285"/>
        <v>#REF!</v>
      </c>
      <c r="W736" s="257" t="e">
        <f t="shared" ref="W736:X736" si="1286">W737+W739</f>
        <v>#REF!</v>
      </c>
      <c r="X736" s="257" t="e">
        <f t="shared" si="1286"/>
        <v>#REF!</v>
      </c>
      <c r="Y736" s="257" t="e">
        <f t="shared" ref="Y736:Z736" si="1287">Y737+Y739</f>
        <v>#REF!</v>
      </c>
      <c r="Z736" s="257" t="e">
        <f t="shared" si="1287"/>
        <v>#REF!</v>
      </c>
    </row>
    <row r="737" spans="1:26" ht="71.25" hidden="1" customHeight="1" x14ac:dyDescent="0.2">
      <c r="A737" s="376" t="s">
        <v>728</v>
      </c>
      <c r="B737" s="271">
        <v>801</v>
      </c>
      <c r="C737" s="272" t="s">
        <v>196</v>
      </c>
      <c r="D737" s="272" t="s">
        <v>198</v>
      </c>
      <c r="E737" s="272" t="s">
        <v>729</v>
      </c>
      <c r="F737" s="272"/>
      <c r="G737" s="257"/>
      <c r="H737" s="257"/>
      <c r="I737" s="257">
        <f>I738</f>
        <v>-431.2</v>
      </c>
      <c r="J737" s="257" t="e">
        <f>J738</f>
        <v>#REF!</v>
      </c>
      <c r="K737" s="257">
        <f>K738</f>
        <v>-431.2</v>
      </c>
      <c r="L737" s="257" t="e">
        <f>L738</f>
        <v>#REF!</v>
      </c>
      <c r="M737" s="257" t="e">
        <f>M738</f>
        <v>#REF!</v>
      </c>
      <c r="N737" s="257" t="e">
        <f t="shared" ref="N737:Z737" si="1288">N738</f>
        <v>#REF!</v>
      </c>
      <c r="O737" s="257" t="e">
        <f t="shared" si="1288"/>
        <v>#REF!</v>
      </c>
      <c r="P737" s="257" t="e">
        <f t="shared" si="1288"/>
        <v>#REF!</v>
      </c>
      <c r="Q737" s="257" t="e">
        <f t="shared" si="1288"/>
        <v>#REF!</v>
      </c>
      <c r="R737" s="257" t="e">
        <f t="shared" si="1288"/>
        <v>#REF!</v>
      </c>
      <c r="S737" s="257" t="e">
        <f t="shared" si="1288"/>
        <v>#REF!</v>
      </c>
      <c r="T737" s="257" t="e">
        <f t="shared" si="1288"/>
        <v>#REF!</v>
      </c>
      <c r="U737" s="257" t="e">
        <f t="shared" si="1288"/>
        <v>#REF!</v>
      </c>
      <c r="V737" s="257" t="e">
        <f t="shared" si="1288"/>
        <v>#REF!</v>
      </c>
      <c r="W737" s="257" t="e">
        <f t="shared" si="1288"/>
        <v>#REF!</v>
      </c>
      <c r="X737" s="257" t="e">
        <f t="shared" si="1288"/>
        <v>#REF!</v>
      </c>
      <c r="Y737" s="257" t="e">
        <f t="shared" si="1288"/>
        <v>#REF!</v>
      </c>
      <c r="Z737" s="257" t="e">
        <f t="shared" si="1288"/>
        <v>#REF!</v>
      </c>
    </row>
    <row r="738" spans="1:26" ht="21" hidden="1" customHeight="1" x14ac:dyDescent="0.2">
      <c r="A738" s="259" t="s">
        <v>93</v>
      </c>
      <c r="B738" s="271">
        <v>801</v>
      </c>
      <c r="C738" s="272" t="s">
        <v>196</v>
      </c>
      <c r="D738" s="272" t="s">
        <v>198</v>
      </c>
      <c r="E738" s="272" t="s">
        <v>729</v>
      </c>
      <c r="F738" s="272" t="s">
        <v>94</v>
      </c>
      <c r="G738" s="257"/>
      <c r="H738" s="257"/>
      <c r="I738" s="257">
        <v>-431.2</v>
      </c>
      <c r="J738" s="257" t="e">
        <f>#REF!+I738</f>
        <v>#REF!</v>
      </c>
      <c r="K738" s="257">
        <v>-431.2</v>
      </c>
      <c r="L738" s="257" t="e">
        <f>#REF!+J738</f>
        <v>#REF!</v>
      </c>
      <c r="M738" s="257" t="e">
        <f>#REF!+K738</f>
        <v>#REF!</v>
      </c>
      <c r="N738" s="257" t="e">
        <f>#REF!+L738</f>
        <v>#REF!</v>
      </c>
      <c r="O738" s="257" t="e">
        <f>#REF!+M738</f>
        <v>#REF!</v>
      </c>
      <c r="P738" s="257" t="e">
        <f>#REF!+N738</f>
        <v>#REF!</v>
      </c>
      <c r="Q738" s="257" t="e">
        <f>#REF!+O738</f>
        <v>#REF!</v>
      </c>
      <c r="R738" s="257" t="e">
        <f>#REF!+P738</f>
        <v>#REF!</v>
      </c>
      <c r="S738" s="257" t="e">
        <f>#REF!+Q738</f>
        <v>#REF!</v>
      </c>
      <c r="T738" s="257" t="e">
        <f>#REF!+R738</f>
        <v>#REF!</v>
      </c>
      <c r="U738" s="257" t="e">
        <f>#REF!+S738</f>
        <v>#REF!</v>
      </c>
      <c r="V738" s="257" t="e">
        <f>#REF!+T738</f>
        <v>#REF!</v>
      </c>
      <c r="W738" s="257" t="e">
        <f>#REF!+U738</f>
        <v>#REF!</v>
      </c>
      <c r="X738" s="257" t="e">
        <f>#REF!+V738</f>
        <v>#REF!</v>
      </c>
      <c r="Y738" s="257" t="e">
        <f>#REF!+W738</f>
        <v>#REF!</v>
      </c>
      <c r="Z738" s="257" t="e">
        <f>#REF!+X738</f>
        <v>#REF!</v>
      </c>
    </row>
    <row r="739" spans="1:26" ht="93.75" hidden="1" customHeight="1" x14ac:dyDescent="0.2">
      <c r="A739" s="270" t="s">
        <v>730</v>
      </c>
      <c r="B739" s="271">
        <v>801</v>
      </c>
      <c r="C739" s="272" t="s">
        <v>196</v>
      </c>
      <c r="D739" s="272" t="s">
        <v>198</v>
      </c>
      <c r="E739" s="272" t="s">
        <v>731</v>
      </c>
      <c r="F739" s="272"/>
      <c r="G739" s="257"/>
      <c r="H739" s="257"/>
      <c r="I739" s="257">
        <f>I740</f>
        <v>-445</v>
      </c>
      <c r="J739" s="257" t="e">
        <f>J740</f>
        <v>#REF!</v>
      </c>
      <c r="K739" s="257">
        <f>K740</f>
        <v>-445</v>
      </c>
      <c r="L739" s="257" t="e">
        <f>L740</f>
        <v>#REF!</v>
      </c>
      <c r="M739" s="257" t="e">
        <f>M740</f>
        <v>#REF!</v>
      </c>
      <c r="N739" s="257" t="e">
        <f t="shared" ref="N739:Z739" si="1289">N740</f>
        <v>#REF!</v>
      </c>
      <c r="O739" s="257" t="e">
        <f t="shared" si="1289"/>
        <v>#REF!</v>
      </c>
      <c r="P739" s="257" t="e">
        <f t="shared" si="1289"/>
        <v>#REF!</v>
      </c>
      <c r="Q739" s="257" t="e">
        <f t="shared" si="1289"/>
        <v>#REF!</v>
      </c>
      <c r="R739" s="257" t="e">
        <f t="shared" si="1289"/>
        <v>#REF!</v>
      </c>
      <c r="S739" s="257" t="e">
        <f t="shared" si="1289"/>
        <v>#REF!</v>
      </c>
      <c r="T739" s="257" t="e">
        <f t="shared" si="1289"/>
        <v>#REF!</v>
      </c>
      <c r="U739" s="257" t="e">
        <f t="shared" si="1289"/>
        <v>#REF!</v>
      </c>
      <c r="V739" s="257" t="e">
        <f t="shared" si="1289"/>
        <v>#REF!</v>
      </c>
      <c r="W739" s="257" t="e">
        <f t="shared" si="1289"/>
        <v>#REF!</v>
      </c>
      <c r="X739" s="257" t="e">
        <f t="shared" si="1289"/>
        <v>#REF!</v>
      </c>
      <c r="Y739" s="257" t="e">
        <f t="shared" si="1289"/>
        <v>#REF!</v>
      </c>
      <c r="Z739" s="257" t="e">
        <f t="shared" si="1289"/>
        <v>#REF!</v>
      </c>
    </row>
    <row r="740" spans="1:26" ht="18" hidden="1" customHeight="1" x14ac:dyDescent="0.2">
      <c r="A740" s="259" t="s">
        <v>93</v>
      </c>
      <c r="B740" s="271">
        <v>801</v>
      </c>
      <c r="C740" s="272" t="s">
        <v>196</v>
      </c>
      <c r="D740" s="272" t="s">
        <v>198</v>
      </c>
      <c r="E740" s="272" t="s">
        <v>731</v>
      </c>
      <c r="F740" s="272" t="s">
        <v>94</v>
      </c>
      <c r="G740" s="257"/>
      <c r="H740" s="257"/>
      <c r="I740" s="257">
        <v>-445</v>
      </c>
      <c r="J740" s="257" t="e">
        <f>#REF!+I740</f>
        <v>#REF!</v>
      </c>
      <c r="K740" s="257">
        <v>-445</v>
      </c>
      <c r="L740" s="257" t="e">
        <f>#REF!+J740</f>
        <v>#REF!</v>
      </c>
      <c r="M740" s="257" t="e">
        <f>#REF!+K740</f>
        <v>#REF!</v>
      </c>
      <c r="N740" s="257" t="e">
        <f>#REF!+L740</f>
        <v>#REF!</v>
      </c>
      <c r="O740" s="257" t="e">
        <f>#REF!+M740</f>
        <v>#REF!</v>
      </c>
      <c r="P740" s="257" t="e">
        <f>#REF!+N740</f>
        <v>#REF!</v>
      </c>
      <c r="Q740" s="257" t="e">
        <f>#REF!+O740</f>
        <v>#REF!</v>
      </c>
      <c r="R740" s="257" t="e">
        <f>#REF!+P740</f>
        <v>#REF!</v>
      </c>
      <c r="S740" s="257" t="e">
        <f>#REF!+Q740</f>
        <v>#REF!</v>
      </c>
      <c r="T740" s="257" t="e">
        <f>#REF!+R740</f>
        <v>#REF!</v>
      </c>
      <c r="U740" s="257" t="e">
        <f>#REF!+S740</f>
        <v>#REF!</v>
      </c>
      <c r="V740" s="257" t="e">
        <f>#REF!+T740</f>
        <v>#REF!</v>
      </c>
      <c r="W740" s="257" t="e">
        <f>#REF!+U740</f>
        <v>#REF!</v>
      </c>
      <c r="X740" s="257" t="e">
        <f>#REF!+V740</f>
        <v>#REF!</v>
      </c>
      <c r="Y740" s="257" t="e">
        <f>#REF!+W740</f>
        <v>#REF!</v>
      </c>
      <c r="Z740" s="257" t="e">
        <f>#REF!+X740</f>
        <v>#REF!</v>
      </c>
    </row>
    <row r="741" spans="1:26" ht="21.75" hidden="1" customHeight="1" x14ac:dyDescent="0.2">
      <c r="A741" s="259"/>
      <c r="B741" s="271"/>
      <c r="C741" s="252"/>
      <c r="D741" s="252"/>
      <c r="E741" s="252"/>
      <c r="F741" s="252"/>
      <c r="G741" s="257"/>
      <c r="H741" s="257"/>
      <c r="I741" s="257"/>
      <c r="J741" s="257"/>
      <c r="K741" s="257"/>
      <c r="L741" s="257"/>
      <c r="M741" s="257"/>
      <c r="N741" s="257"/>
      <c r="O741" s="257"/>
      <c r="P741" s="257"/>
      <c r="Q741" s="257"/>
      <c r="R741" s="257"/>
      <c r="S741" s="257"/>
      <c r="T741" s="257"/>
      <c r="U741" s="257"/>
      <c r="V741" s="257"/>
      <c r="W741" s="257"/>
      <c r="X741" s="257"/>
      <c r="Y741" s="257"/>
      <c r="Z741" s="257"/>
    </row>
    <row r="742" spans="1:26" ht="21.75" hidden="1" customHeight="1" x14ac:dyDescent="0.2">
      <c r="A742" s="259"/>
      <c r="B742" s="271"/>
      <c r="C742" s="252"/>
      <c r="D742" s="252"/>
      <c r="E742" s="252"/>
      <c r="F742" s="252"/>
      <c r="G742" s="257"/>
      <c r="H742" s="257"/>
      <c r="I742" s="257"/>
      <c r="J742" s="257"/>
      <c r="K742" s="257"/>
      <c r="L742" s="257"/>
      <c r="M742" s="257"/>
      <c r="N742" s="257"/>
      <c r="O742" s="257"/>
      <c r="P742" s="257"/>
      <c r="Q742" s="257"/>
      <c r="R742" s="257"/>
      <c r="S742" s="257"/>
      <c r="T742" s="257"/>
      <c r="U742" s="257"/>
      <c r="V742" s="257"/>
      <c r="W742" s="257"/>
      <c r="X742" s="257"/>
      <c r="Y742" s="257"/>
      <c r="Z742" s="257"/>
    </row>
    <row r="743" spans="1:26" hidden="1" x14ac:dyDescent="0.2">
      <c r="A743" s="259" t="s">
        <v>404</v>
      </c>
      <c r="B743" s="271">
        <v>801</v>
      </c>
      <c r="C743" s="252" t="s">
        <v>196</v>
      </c>
      <c r="D743" s="252" t="s">
        <v>198</v>
      </c>
      <c r="E743" s="252" t="s">
        <v>62</v>
      </c>
      <c r="F743" s="252"/>
      <c r="G743" s="257"/>
      <c r="H743" s="257"/>
      <c r="I743" s="257">
        <f>I748</f>
        <v>-701</v>
      </c>
      <c r="J743" s="257">
        <f>J748</f>
        <v>-701</v>
      </c>
      <c r="K743" s="257">
        <f>K748</f>
        <v>-701</v>
      </c>
      <c r="L743" s="257">
        <f>L748</f>
        <v>-701</v>
      </c>
      <c r="M743" s="257">
        <f>M748</f>
        <v>-1402</v>
      </c>
      <c r="N743" s="257">
        <f t="shared" ref="N743:R743" si="1290">N748</f>
        <v>-1402</v>
      </c>
      <c r="O743" s="257">
        <f t="shared" si="1290"/>
        <v>-2103</v>
      </c>
      <c r="P743" s="257">
        <f t="shared" si="1290"/>
        <v>-2103</v>
      </c>
      <c r="Q743" s="257">
        <f t="shared" si="1290"/>
        <v>-3505</v>
      </c>
      <c r="R743" s="257">
        <f t="shared" si="1290"/>
        <v>-3505</v>
      </c>
      <c r="S743" s="257">
        <f t="shared" ref="S743:T743" si="1291">S748</f>
        <v>-5608</v>
      </c>
      <c r="T743" s="257">
        <f t="shared" si="1291"/>
        <v>-5608</v>
      </c>
      <c r="U743" s="257">
        <f t="shared" ref="U743:V743" si="1292">U748</f>
        <v>-9113</v>
      </c>
      <c r="V743" s="257">
        <f t="shared" si="1292"/>
        <v>-9113</v>
      </c>
      <c r="W743" s="257">
        <f t="shared" ref="W743:X743" si="1293">W748</f>
        <v>-14721</v>
      </c>
      <c r="X743" s="257">
        <f t="shared" si="1293"/>
        <v>-14721</v>
      </c>
      <c r="Y743" s="257">
        <f t="shared" ref="Y743:Z743" si="1294">Y748</f>
        <v>-23834</v>
      </c>
      <c r="Z743" s="257">
        <f t="shared" si="1294"/>
        <v>-23834</v>
      </c>
    </row>
    <row r="744" spans="1:26" hidden="1" x14ac:dyDescent="0.2">
      <c r="A744" s="259" t="s">
        <v>542</v>
      </c>
      <c r="B744" s="271">
        <v>801</v>
      </c>
      <c r="C744" s="252" t="s">
        <v>196</v>
      </c>
      <c r="D744" s="252" t="s">
        <v>198</v>
      </c>
      <c r="E744" s="252" t="s">
        <v>175</v>
      </c>
      <c r="F744" s="252"/>
      <c r="G744" s="257"/>
      <c r="H744" s="257"/>
      <c r="I744" s="257" t="e">
        <f>I746+I745+I747</f>
        <v>#REF!</v>
      </c>
      <c r="J744" s="257" t="e">
        <f>J746+J745+J747</f>
        <v>#REF!</v>
      </c>
      <c r="K744" s="257" t="e">
        <f>K746+K745+K747</f>
        <v>#REF!</v>
      </c>
      <c r="L744" s="257" t="e">
        <f>L746+L745+L747</f>
        <v>#REF!</v>
      </c>
      <c r="M744" s="257" t="e">
        <f>M746+M745+M747</f>
        <v>#REF!</v>
      </c>
      <c r="N744" s="257" t="e">
        <f t="shared" ref="N744:R744" si="1295">N746+N745+N747</f>
        <v>#REF!</v>
      </c>
      <c r="O744" s="257" t="e">
        <f t="shared" si="1295"/>
        <v>#REF!</v>
      </c>
      <c r="P744" s="257" t="e">
        <f t="shared" si="1295"/>
        <v>#REF!</v>
      </c>
      <c r="Q744" s="257" t="e">
        <f t="shared" si="1295"/>
        <v>#REF!</v>
      </c>
      <c r="R744" s="257" t="e">
        <f t="shared" si="1295"/>
        <v>#REF!</v>
      </c>
      <c r="S744" s="257" t="e">
        <f t="shared" ref="S744:T744" si="1296">S746+S745+S747</f>
        <v>#REF!</v>
      </c>
      <c r="T744" s="257" t="e">
        <f t="shared" si="1296"/>
        <v>#REF!</v>
      </c>
      <c r="U744" s="257" t="e">
        <f t="shared" ref="U744:V744" si="1297">U746+U745+U747</f>
        <v>#REF!</v>
      </c>
      <c r="V744" s="257" t="e">
        <f t="shared" si="1297"/>
        <v>#REF!</v>
      </c>
      <c r="W744" s="257" t="e">
        <f t="shared" ref="W744:X744" si="1298">W746+W745+W747</f>
        <v>#REF!</v>
      </c>
      <c r="X744" s="257" t="e">
        <f t="shared" si="1298"/>
        <v>#REF!</v>
      </c>
      <c r="Y744" s="257" t="e">
        <f t="shared" ref="Y744:Z744" si="1299">Y746+Y745+Y747</f>
        <v>#REF!</v>
      </c>
      <c r="Z744" s="257" t="e">
        <f t="shared" si="1299"/>
        <v>#REF!</v>
      </c>
    </row>
    <row r="745" spans="1:26" hidden="1" x14ac:dyDescent="0.2">
      <c r="A745" s="259" t="s">
        <v>93</v>
      </c>
      <c r="B745" s="271">
        <v>801</v>
      </c>
      <c r="C745" s="252" t="s">
        <v>196</v>
      </c>
      <c r="D745" s="252" t="s">
        <v>198</v>
      </c>
      <c r="E745" s="252" t="s">
        <v>175</v>
      </c>
      <c r="F745" s="252" t="s">
        <v>94</v>
      </c>
      <c r="G745" s="257"/>
      <c r="H745" s="257"/>
      <c r="I745" s="257" t="e">
        <f>#REF!+G745</f>
        <v>#REF!</v>
      </c>
      <c r="J745" s="257" t="e">
        <f>G745+I745</f>
        <v>#REF!</v>
      </c>
      <c r="K745" s="257" t="e">
        <f>H745+I745</f>
        <v>#REF!</v>
      </c>
      <c r="L745" s="257" t="e">
        <f>H745+J745</f>
        <v>#REF!</v>
      </c>
      <c r="M745" s="257" t="e">
        <f>I745+K745</f>
        <v>#REF!</v>
      </c>
      <c r="N745" s="257" t="e">
        <f t="shared" ref="N745:O746" si="1300">J745+L745</f>
        <v>#REF!</v>
      </c>
      <c r="O745" s="257" t="e">
        <f t="shared" si="1300"/>
        <v>#REF!</v>
      </c>
      <c r="P745" s="257" t="e">
        <f>L745+N745</f>
        <v>#REF!</v>
      </c>
      <c r="Q745" s="257" t="e">
        <f t="shared" ref="Q745:R746" si="1301">M745+O745</f>
        <v>#REF!</v>
      </c>
      <c r="R745" s="257" t="e">
        <f t="shared" si="1301"/>
        <v>#REF!</v>
      </c>
      <c r="S745" s="257" t="e">
        <f t="shared" ref="S745:S746" si="1302">O745+Q745</f>
        <v>#REF!</v>
      </c>
      <c r="T745" s="257" t="e">
        <f t="shared" ref="T745:T746" si="1303">P745+R745</f>
        <v>#REF!</v>
      </c>
      <c r="U745" s="257" t="e">
        <f t="shared" ref="U745:U746" si="1304">Q745+S745</f>
        <v>#REF!</v>
      </c>
      <c r="V745" s="257" t="e">
        <f t="shared" ref="V745:V746" si="1305">R745+T745</f>
        <v>#REF!</v>
      </c>
      <c r="W745" s="257" t="e">
        <f t="shared" ref="W745:W746" si="1306">S745+U745</f>
        <v>#REF!</v>
      </c>
      <c r="X745" s="257" t="e">
        <f t="shared" ref="X745:X746" si="1307">T745+V745</f>
        <v>#REF!</v>
      </c>
      <c r="Y745" s="257" t="e">
        <f t="shared" ref="Y745:Y746" si="1308">U745+W745</f>
        <v>#REF!</v>
      </c>
      <c r="Z745" s="257" t="e">
        <f t="shared" ref="Z745:Z746" si="1309">V745+X745</f>
        <v>#REF!</v>
      </c>
    </row>
    <row r="746" spans="1:26" ht="12.75" hidden="1" customHeight="1" x14ac:dyDescent="0.2">
      <c r="A746" s="259" t="s">
        <v>63</v>
      </c>
      <c r="B746" s="271">
        <v>801</v>
      </c>
      <c r="C746" s="252" t="s">
        <v>196</v>
      </c>
      <c r="D746" s="252" t="s">
        <v>198</v>
      </c>
      <c r="E746" s="252" t="s">
        <v>175</v>
      </c>
      <c r="F746" s="252" t="s">
        <v>64</v>
      </c>
      <c r="G746" s="257"/>
      <c r="H746" s="257"/>
      <c r="I746" s="257" t="e">
        <f>#REF!+G746</f>
        <v>#REF!</v>
      </c>
      <c r="J746" s="257" t="e">
        <f>G746+I746</f>
        <v>#REF!</v>
      </c>
      <c r="K746" s="257" t="e">
        <f>H746+I746</f>
        <v>#REF!</v>
      </c>
      <c r="L746" s="257" t="e">
        <f>H746+J746</f>
        <v>#REF!</v>
      </c>
      <c r="M746" s="257" t="e">
        <f>I746+K746</f>
        <v>#REF!</v>
      </c>
      <c r="N746" s="257" t="e">
        <f t="shared" si="1300"/>
        <v>#REF!</v>
      </c>
      <c r="O746" s="257" t="e">
        <f t="shared" si="1300"/>
        <v>#REF!</v>
      </c>
      <c r="P746" s="257" t="e">
        <f>L746+N746</f>
        <v>#REF!</v>
      </c>
      <c r="Q746" s="257" t="e">
        <f t="shared" si="1301"/>
        <v>#REF!</v>
      </c>
      <c r="R746" s="257" t="e">
        <f t="shared" si="1301"/>
        <v>#REF!</v>
      </c>
      <c r="S746" s="257" t="e">
        <f t="shared" si="1302"/>
        <v>#REF!</v>
      </c>
      <c r="T746" s="257" t="e">
        <f t="shared" si="1303"/>
        <v>#REF!</v>
      </c>
      <c r="U746" s="257" t="e">
        <f t="shared" si="1304"/>
        <v>#REF!</v>
      </c>
      <c r="V746" s="257" t="e">
        <f t="shared" si="1305"/>
        <v>#REF!</v>
      </c>
      <c r="W746" s="257" t="e">
        <f t="shared" si="1306"/>
        <v>#REF!</v>
      </c>
      <c r="X746" s="257" t="e">
        <f t="shared" si="1307"/>
        <v>#REF!</v>
      </c>
      <c r="Y746" s="257" t="e">
        <f t="shared" si="1308"/>
        <v>#REF!</v>
      </c>
      <c r="Z746" s="257" t="e">
        <f t="shared" si="1309"/>
        <v>#REF!</v>
      </c>
    </row>
    <row r="747" spans="1:26" ht="41.25" hidden="1" customHeight="1" x14ac:dyDescent="0.2">
      <c r="A747" s="259" t="s">
        <v>132</v>
      </c>
      <c r="B747" s="271">
        <v>801</v>
      </c>
      <c r="C747" s="252" t="s">
        <v>196</v>
      </c>
      <c r="D747" s="252" t="s">
        <v>198</v>
      </c>
      <c r="E747" s="252" t="s">
        <v>175</v>
      </c>
      <c r="F747" s="252" t="s">
        <v>131</v>
      </c>
      <c r="G747" s="257"/>
      <c r="H747" s="257"/>
      <c r="I747" s="257">
        <f>G747</f>
        <v>0</v>
      </c>
      <c r="J747" s="257">
        <f>I747</f>
        <v>0</v>
      </c>
      <c r="K747" s="257">
        <f>I747</f>
        <v>0</v>
      </c>
      <c r="L747" s="257">
        <f>J747</f>
        <v>0</v>
      </c>
      <c r="M747" s="257">
        <f>K747</f>
        <v>0</v>
      </c>
      <c r="N747" s="257">
        <f t="shared" ref="N747:O747" si="1310">L747</f>
        <v>0</v>
      </c>
      <c r="O747" s="257">
        <f t="shared" si="1310"/>
        <v>0</v>
      </c>
      <c r="P747" s="257">
        <f>N747</f>
        <v>0</v>
      </c>
      <c r="Q747" s="257">
        <f t="shared" ref="Q747:R747" si="1311">O747</f>
        <v>0</v>
      </c>
      <c r="R747" s="257">
        <f t="shared" si="1311"/>
        <v>0</v>
      </c>
      <c r="S747" s="257">
        <f t="shared" ref="S747" si="1312">Q747</f>
        <v>0</v>
      </c>
      <c r="T747" s="257">
        <f t="shared" ref="T747" si="1313">R747</f>
        <v>0</v>
      </c>
      <c r="U747" s="257">
        <f t="shared" ref="U747" si="1314">S747</f>
        <v>0</v>
      </c>
      <c r="V747" s="257">
        <f t="shared" ref="V747" si="1315">T747</f>
        <v>0</v>
      </c>
      <c r="W747" s="257">
        <f t="shared" ref="W747" si="1316">U747</f>
        <v>0</v>
      </c>
      <c r="X747" s="257">
        <f t="shared" ref="X747" si="1317">V747</f>
        <v>0</v>
      </c>
      <c r="Y747" s="257">
        <f t="shared" ref="Y747" si="1318">W747</f>
        <v>0</v>
      </c>
      <c r="Z747" s="257">
        <f t="shared" ref="Z747" si="1319">X747</f>
        <v>0</v>
      </c>
    </row>
    <row r="748" spans="1:26" ht="18.75" hidden="1" customHeight="1" x14ac:dyDescent="0.2">
      <c r="A748" s="259" t="s">
        <v>426</v>
      </c>
      <c r="B748" s="271">
        <v>801</v>
      </c>
      <c r="C748" s="252" t="s">
        <v>196</v>
      </c>
      <c r="D748" s="252" t="s">
        <v>198</v>
      </c>
      <c r="E748" s="252" t="s">
        <v>434</v>
      </c>
      <c r="F748" s="252"/>
      <c r="G748" s="257"/>
      <c r="H748" s="257"/>
      <c r="I748" s="257">
        <f>I749</f>
        <v>-701</v>
      </c>
      <c r="J748" s="257">
        <f>J749</f>
        <v>-701</v>
      </c>
      <c r="K748" s="257">
        <f>K749</f>
        <v>-701</v>
      </c>
      <c r="L748" s="257">
        <f>L749</f>
        <v>-701</v>
      </c>
      <c r="M748" s="257">
        <f>M749</f>
        <v>-1402</v>
      </c>
      <c r="N748" s="257">
        <f t="shared" ref="N748:Z748" si="1320">N749</f>
        <v>-1402</v>
      </c>
      <c r="O748" s="257">
        <f t="shared" si="1320"/>
        <v>-2103</v>
      </c>
      <c r="P748" s="257">
        <f t="shared" si="1320"/>
        <v>-2103</v>
      </c>
      <c r="Q748" s="257">
        <f t="shared" si="1320"/>
        <v>-3505</v>
      </c>
      <c r="R748" s="257">
        <f t="shared" si="1320"/>
        <v>-3505</v>
      </c>
      <c r="S748" s="257">
        <f t="shared" si="1320"/>
        <v>-5608</v>
      </c>
      <c r="T748" s="257">
        <f t="shared" si="1320"/>
        <v>-5608</v>
      </c>
      <c r="U748" s="257">
        <f t="shared" si="1320"/>
        <v>-9113</v>
      </c>
      <c r="V748" s="257">
        <f t="shared" si="1320"/>
        <v>-9113</v>
      </c>
      <c r="W748" s="257">
        <f t="shared" si="1320"/>
        <v>-14721</v>
      </c>
      <c r="X748" s="257">
        <f t="shared" si="1320"/>
        <v>-14721</v>
      </c>
      <c r="Y748" s="257">
        <f t="shared" si="1320"/>
        <v>-23834</v>
      </c>
      <c r="Z748" s="257">
        <f t="shared" si="1320"/>
        <v>-23834</v>
      </c>
    </row>
    <row r="749" spans="1:26" ht="20.25" hidden="1" customHeight="1" x14ac:dyDescent="0.2">
      <c r="A749" s="259" t="s">
        <v>93</v>
      </c>
      <c r="B749" s="271">
        <v>801</v>
      </c>
      <c r="C749" s="252" t="s">
        <v>196</v>
      </c>
      <c r="D749" s="252" t="s">
        <v>198</v>
      </c>
      <c r="E749" s="252" t="s">
        <v>434</v>
      </c>
      <c r="F749" s="252" t="s">
        <v>94</v>
      </c>
      <c r="G749" s="257"/>
      <c r="H749" s="257"/>
      <c r="I749" s="257">
        <v>-701</v>
      </c>
      <c r="J749" s="257">
        <f>G749+I749</f>
        <v>-701</v>
      </c>
      <c r="K749" s="257">
        <v>-701</v>
      </c>
      <c r="L749" s="257">
        <f>H749+J749</f>
        <v>-701</v>
      </c>
      <c r="M749" s="257">
        <f>I749+K749</f>
        <v>-1402</v>
      </c>
      <c r="N749" s="257">
        <f t="shared" ref="N749:O749" si="1321">J749+L749</f>
        <v>-1402</v>
      </c>
      <c r="O749" s="257">
        <f t="shared" si="1321"/>
        <v>-2103</v>
      </c>
      <c r="P749" s="257">
        <f>L749+N749</f>
        <v>-2103</v>
      </c>
      <c r="Q749" s="257">
        <f t="shared" ref="Q749:R749" si="1322">M749+O749</f>
        <v>-3505</v>
      </c>
      <c r="R749" s="257">
        <f t="shared" si="1322"/>
        <v>-3505</v>
      </c>
      <c r="S749" s="257">
        <f t="shared" ref="S749" si="1323">O749+Q749</f>
        <v>-5608</v>
      </c>
      <c r="T749" s="257">
        <f t="shared" ref="T749" si="1324">P749+R749</f>
        <v>-5608</v>
      </c>
      <c r="U749" s="257">
        <f t="shared" ref="U749" si="1325">Q749+S749</f>
        <v>-9113</v>
      </c>
      <c r="V749" s="257">
        <f t="shared" ref="V749" si="1326">R749+T749</f>
        <v>-9113</v>
      </c>
      <c r="W749" s="257">
        <f t="shared" ref="W749" si="1327">S749+U749</f>
        <v>-14721</v>
      </c>
      <c r="X749" s="257">
        <f t="shared" ref="X749" si="1328">T749+V749</f>
        <v>-14721</v>
      </c>
      <c r="Y749" s="257">
        <f t="shared" ref="Y749" si="1329">U749+W749</f>
        <v>-23834</v>
      </c>
      <c r="Z749" s="257">
        <f t="shared" ref="Z749" si="1330">V749+X749</f>
        <v>-23834</v>
      </c>
    </row>
    <row r="750" spans="1:26" ht="29.25" customHeight="1" x14ac:dyDescent="0.2">
      <c r="A750" s="259" t="s">
        <v>982</v>
      </c>
      <c r="B750" s="271">
        <v>801</v>
      </c>
      <c r="C750" s="252" t="s">
        <v>196</v>
      </c>
      <c r="D750" s="252" t="s">
        <v>198</v>
      </c>
      <c r="E750" s="252" t="s">
        <v>873</v>
      </c>
      <c r="F750" s="252"/>
      <c r="G750" s="257"/>
      <c r="H750" s="257">
        <f>H751+H752</f>
        <v>1395</v>
      </c>
      <c r="I750" s="257">
        <f>I751+I752</f>
        <v>0</v>
      </c>
      <c r="J750" s="257">
        <f t="shared" ref="J750:J760" si="1331">H750+I750</f>
        <v>1395</v>
      </c>
      <c r="K750" s="257">
        <f>K751+K752</f>
        <v>0</v>
      </c>
      <c r="L750" s="257">
        <f>L751+L752</f>
        <v>1705</v>
      </c>
      <c r="M750" s="257">
        <f>M751+M752</f>
        <v>1705</v>
      </c>
      <c r="N750" s="257">
        <f t="shared" ref="N750:Q750" si="1332">N751+N752</f>
        <v>26</v>
      </c>
      <c r="O750" s="257">
        <f t="shared" si="1332"/>
        <v>1731</v>
      </c>
      <c r="P750" s="257">
        <f t="shared" si="1332"/>
        <v>1731</v>
      </c>
      <c r="Q750" s="257">
        <f t="shared" si="1332"/>
        <v>0</v>
      </c>
      <c r="R750" s="257">
        <f>R751+R752</f>
        <v>1731</v>
      </c>
      <c r="S750" s="257">
        <f t="shared" ref="S750:T750" si="1333">S751+S752</f>
        <v>494</v>
      </c>
      <c r="T750" s="257">
        <f t="shared" si="1333"/>
        <v>2225</v>
      </c>
      <c r="U750" s="257">
        <f t="shared" ref="U750:V750" si="1334">U751+U752</f>
        <v>45</v>
      </c>
      <c r="V750" s="257">
        <f t="shared" si="1334"/>
        <v>2225</v>
      </c>
      <c r="W750" s="257">
        <f t="shared" ref="W750:X750" si="1335">W751+W752</f>
        <v>126</v>
      </c>
      <c r="X750" s="257">
        <f t="shared" si="1335"/>
        <v>2628</v>
      </c>
      <c r="Y750" s="257">
        <f t="shared" ref="Y750:Z750" si="1336">Y751+Y752</f>
        <v>247</v>
      </c>
      <c r="Z750" s="257">
        <f t="shared" si="1336"/>
        <v>2875</v>
      </c>
    </row>
    <row r="751" spans="1:26" ht="20.25" customHeight="1" x14ac:dyDescent="0.2">
      <c r="A751" s="259" t="s">
        <v>95</v>
      </c>
      <c r="B751" s="271">
        <v>801</v>
      </c>
      <c r="C751" s="252" t="s">
        <v>196</v>
      </c>
      <c r="D751" s="252" t="s">
        <v>198</v>
      </c>
      <c r="E751" s="252" t="s">
        <v>873</v>
      </c>
      <c r="F751" s="252" t="s">
        <v>96</v>
      </c>
      <c r="G751" s="257"/>
      <c r="H751" s="257">
        <v>1395</v>
      </c>
      <c r="I751" s="257">
        <v>-122.1</v>
      </c>
      <c r="J751" s="257">
        <f t="shared" si="1331"/>
        <v>1272.9000000000001</v>
      </c>
      <c r="K751" s="257">
        <v>0</v>
      </c>
      <c r="L751" s="257">
        <v>1309</v>
      </c>
      <c r="M751" s="257">
        <v>1309</v>
      </c>
      <c r="N751" s="257">
        <v>20</v>
      </c>
      <c r="O751" s="257">
        <f>M751+N751</f>
        <v>1329</v>
      </c>
      <c r="P751" s="257">
        <v>1329</v>
      </c>
      <c r="Q751" s="257">
        <v>0</v>
      </c>
      <c r="R751" s="257">
        <f t="shared" ref="R751:R823" si="1337">P751+Q751</f>
        <v>1329</v>
      </c>
      <c r="S751" s="257">
        <v>380</v>
      </c>
      <c r="T751" s="257">
        <f t="shared" ref="T751:T752" si="1338">R751+S751</f>
        <v>1709</v>
      </c>
      <c r="U751" s="257">
        <v>34</v>
      </c>
      <c r="V751" s="257">
        <v>1709</v>
      </c>
      <c r="W751" s="257">
        <v>96</v>
      </c>
      <c r="X751" s="257">
        <v>2019</v>
      </c>
      <c r="Y751" s="257">
        <v>190</v>
      </c>
      <c r="Z751" s="257">
        <f t="shared" ref="Z751:Z752" si="1339">X751+Y751</f>
        <v>2209</v>
      </c>
    </row>
    <row r="752" spans="1:26" ht="35.25" customHeight="1" x14ac:dyDescent="0.2">
      <c r="A752" s="375" t="s">
        <v>898</v>
      </c>
      <c r="B752" s="271">
        <v>801</v>
      </c>
      <c r="C752" s="252" t="s">
        <v>196</v>
      </c>
      <c r="D752" s="252" t="s">
        <v>198</v>
      </c>
      <c r="E752" s="252" t="s">
        <v>873</v>
      </c>
      <c r="F752" s="252" t="s">
        <v>896</v>
      </c>
      <c r="G752" s="257"/>
      <c r="H752" s="257">
        <v>0</v>
      </c>
      <c r="I752" s="257">
        <v>122.1</v>
      </c>
      <c r="J752" s="257">
        <f t="shared" si="1331"/>
        <v>122.1</v>
      </c>
      <c r="K752" s="257">
        <v>0</v>
      </c>
      <c r="L752" s="257">
        <v>396</v>
      </c>
      <c r="M752" s="257">
        <v>396</v>
      </c>
      <c r="N752" s="257">
        <v>6</v>
      </c>
      <c r="O752" s="257">
        <f>M752+N752</f>
        <v>402</v>
      </c>
      <c r="P752" s="257">
        <v>402</v>
      </c>
      <c r="Q752" s="257">
        <v>0</v>
      </c>
      <c r="R752" s="257">
        <f t="shared" si="1337"/>
        <v>402</v>
      </c>
      <c r="S752" s="257">
        <v>114</v>
      </c>
      <c r="T752" s="257">
        <f t="shared" si="1338"/>
        <v>516</v>
      </c>
      <c r="U752" s="257">
        <v>11</v>
      </c>
      <c r="V752" s="257">
        <v>516</v>
      </c>
      <c r="W752" s="257">
        <v>30</v>
      </c>
      <c r="X752" s="257">
        <v>609</v>
      </c>
      <c r="Y752" s="257">
        <v>57</v>
      </c>
      <c r="Z752" s="257">
        <f t="shared" si="1339"/>
        <v>666</v>
      </c>
    </row>
    <row r="753" spans="1:26" ht="20.25" customHeight="1" x14ac:dyDescent="0.2">
      <c r="A753" s="259" t="s">
        <v>721</v>
      </c>
      <c r="B753" s="271">
        <v>801</v>
      </c>
      <c r="C753" s="252" t="s">
        <v>196</v>
      </c>
      <c r="D753" s="252" t="s">
        <v>198</v>
      </c>
      <c r="E753" s="252" t="s">
        <v>799</v>
      </c>
      <c r="F753" s="252"/>
      <c r="G753" s="257"/>
      <c r="H753" s="257">
        <f>H754</f>
        <v>300</v>
      </c>
      <c r="I753" s="257">
        <f>I754</f>
        <v>0</v>
      </c>
      <c r="J753" s="257">
        <f t="shared" si="1331"/>
        <v>300</v>
      </c>
      <c r="K753" s="257">
        <f>K754</f>
        <v>0</v>
      </c>
      <c r="L753" s="257">
        <f>L754</f>
        <v>240</v>
      </c>
      <c r="M753" s="257">
        <f>M754</f>
        <v>240</v>
      </c>
      <c r="N753" s="257">
        <f t="shared" ref="N753:Q753" si="1340">N754</f>
        <v>0</v>
      </c>
      <c r="O753" s="257">
        <f t="shared" si="1340"/>
        <v>240</v>
      </c>
      <c r="P753" s="257">
        <f t="shared" si="1340"/>
        <v>240</v>
      </c>
      <c r="Q753" s="257">
        <f t="shared" si="1340"/>
        <v>0</v>
      </c>
      <c r="R753" s="257">
        <f>R754+R755</f>
        <v>240</v>
      </c>
      <c r="S753" s="257">
        <f t="shared" ref="S753:T753" si="1341">S754+S755</f>
        <v>-100</v>
      </c>
      <c r="T753" s="257">
        <f t="shared" si="1341"/>
        <v>140</v>
      </c>
      <c r="U753" s="257">
        <f t="shared" ref="U753:V753" si="1342">U754+U755</f>
        <v>0</v>
      </c>
      <c r="V753" s="257">
        <f t="shared" si="1342"/>
        <v>140</v>
      </c>
      <c r="W753" s="257">
        <f t="shared" ref="W753:X753" si="1343">W754+W755</f>
        <v>0</v>
      </c>
      <c r="X753" s="257">
        <f t="shared" si="1343"/>
        <v>140</v>
      </c>
      <c r="Y753" s="257">
        <f t="shared" ref="Y753:Z753" si="1344">Y754+Y755</f>
        <v>0</v>
      </c>
      <c r="Z753" s="257">
        <f t="shared" si="1344"/>
        <v>140</v>
      </c>
    </row>
    <row r="754" spans="1:26" ht="20.25" customHeight="1" x14ac:dyDescent="0.2">
      <c r="A754" s="259" t="s">
        <v>93</v>
      </c>
      <c r="B754" s="271">
        <v>801</v>
      </c>
      <c r="C754" s="252" t="s">
        <v>196</v>
      </c>
      <c r="D754" s="252" t="s">
        <v>198</v>
      </c>
      <c r="E754" s="252" t="s">
        <v>799</v>
      </c>
      <c r="F754" s="252" t="s">
        <v>94</v>
      </c>
      <c r="G754" s="257"/>
      <c r="H754" s="257">
        <v>300</v>
      </c>
      <c r="I754" s="257">
        <v>0</v>
      </c>
      <c r="J754" s="257">
        <f t="shared" si="1331"/>
        <v>300</v>
      </c>
      <c r="K754" s="257">
        <v>0</v>
      </c>
      <c r="L754" s="257">
        <v>240</v>
      </c>
      <c r="M754" s="257">
        <v>240</v>
      </c>
      <c r="N754" s="257">
        <v>0</v>
      </c>
      <c r="O754" s="257">
        <f>M754+N754</f>
        <v>240</v>
      </c>
      <c r="P754" s="257">
        <v>240</v>
      </c>
      <c r="Q754" s="257">
        <v>0</v>
      </c>
      <c r="R754" s="257">
        <f t="shared" si="1337"/>
        <v>240</v>
      </c>
      <c r="S754" s="257">
        <v>-100</v>
      </c>
      <c r="T754" s="257">
        <f t="shared" ref="T754:T755" si="1345">R754+S754</f>
        <v>140</v>
      </c>
      <c r="U754" s="257">
        <v>0</v>
      </c>
      <c r="V754" s="257">
        <v>140</v>
      </c>
      <c r="W754" s="257">
        <v>0</v>
      </c>
      <c r="X754" s="257">
        <f t="shared" ref="X754:X755" si="1346">V754+W754</f>
        <v>140</v>
      </c>
      <c r="Y754" s="257">
        <v>0</v>
      </c>
      <c r="Z754" s="257">
        <f t="shared" ref="Z754:Z755" si="1347">X754+Y754</f>
        <v>140</v>
      </c>
    </row>
    <row r="755" spans="1:26" ht="20.25" hidden="1" customHeight="1" x14ac:dyDescent="0.2">
      <c r="A755" s="259" t="s">
        <v>1088</v>
      </c>
      <c r="B755" s="271">
        <v>801</v>
      </c>
      <c r="C755" s="252" t="s">
        <v>196</v>
      </c>
      <c r="D755" s="252" t="s">
        <v>198</v>
      </c>
      <c r="E755" s="252" t="s">
        <v>799</v>
      </c>
      <c r="F755" s="252" t="s">
        <v>1089</v>
      </c>
      <c r="G755" s="257"/>
      <c r="H755" s="257"/>
      <c r="I755" s="257"/>
      <c r="J755" s="257"/>
      <c r="K755" s="257"/>
      <c r="L755" s="257"/>
      <c r="M755" s="257"/>
      <c r="N755" s="257"/>
      <c r="O755" s="257"/>
      <c r="P755" s="257"/>
      <c r="Q755" s="257"/>
      <c r="R755" s="257">
        <v>0</v>
      </c>
      <c r="S755" s="257">
        <v>0</v>
      </c>
      <c r="T755" s="257">
        <f t="shared" si="1345"/>
        <v>0</v>
      </c>
      <c r="U755" s="257">
        <v>0</v>
      </c>
      <c r="V755" s="257">
        <f t="shared" ref="V755" si="1348">T755+U755</f>
        <v>0</v>
      </c>
      <c r="W755" s="257">
        <v>0</v>
      </c>
      <c r="X755" s="257">
        <f t="shared" si="1346"/>
        <v>0</v>
      </c>
      <c r="Y755" s="257">
        <v>0</v>
      </c>
      <c r="Z755" s="257">
        <f t="shared" si="1347"/>
        <v>0</v>
      </c>
    </row>
    <row r="756" spans="1:26" ht="49.5" customHeight="1" x14ac:dyDescent="0.2">
      <c r="A756" s="259" t="s">
        <v>1269</v>
      </c>
      <c r="B756" s="271">
        <v>801</v>
      </c>
      <c r="C756" s="252" t="s">
        <v>196</v>
      </c>
      <c r="D756" s="252" t="s">
        <v>198</v>
      </c>
      <c r="E756" s="252" t="s">
        <v>1270</v>
      </c>
      <c r="F756" s="252"/>
      <c r="G756" s="257"/>
      <c r="H756" s="257">
        <f>H757</f>
        <v>909</v>
      </c>
      <c r="I756" s="257">
        <f>I757</f>
        <v>0</v>
      </c>
      <c r="J756" s="257">
        <f t="shared" si="1331"/>
        <v>909</v>
      </c>
      <c r="K756" s="257">
        <f>K757</f>
        <v>-563.1</v>
      </c>
      <c r="L756" s="257">
        <f>L757</f>
        <v>363.5</v>
      </c>
      <c r="M756" s="257">
        <f>M757</f>
        <v>363.5</v>
      </c>
      <c r="N756" s="257">
        <f t="shared" ref="N756:W756" si="1349">N757</f>
        <v>-133.20000000000002</v>
      </c>
      <c r="O756" s="257">
        <f t="shared" si="1349"/>
        <v>230.29999999999998</v>
      </c>
      <c r="P756" s="257">
        <f t="shared" si="1349"/>
        <v>268.7</v>
      </c>
      <c r="Q756" s="257">
        <f t="shared" si="1349"/>
        <v>-38.6</v>
      </c>
      <c r="R756" s="257">
        <f t="shared" si="1349"/>
        <v>230.1</v>
      </c>
      <c r="S756" s="257">
        <f t="shared" si="1349"/>
        <v>0</v>
      </c>
      <c r="T756" s="257">
        <f t="shared" si="1349"/>
        <v>230.1</v>
      </c>
      <c r="U756" s="257">
        <f t="shared" si="1349"/>
        <v>0</v>
      </c>
      <c r="V756" s="257">
        <f t="shared" si="1349"/>
        <v>230.1</v>
      </c>
      <c r="W756" s="257">
        <f t="shared" si="1349"/>
        <v>54.3</v>
      </c>
      <c r="X756" s="257">
        <f>X757+X758</f>
        <v>284.39999999999998</v>
      </c>
      <c r="Y756" s="257">
        <f t="shared" ref="Y756:Z756" si="1350">Y757+Y758</f>
        <v>0</v>
      </c>
      <c r="Z756" s="257">
        <f t="shared" si="1350"/>
        <v>284.39999999999998</v>
      </c>
    </row>
    <row r="757" spans="1:26" ht="21" customHeight="1" x14ac:dyDescent="0.2">
      <c r="A757" s="259" t="s">
        <v>93</v>
      </c>
      <c r="B757" s="271">
        <v>801</v>
      </c>
      <c r="C757" s="252" t="s">
        <v>196</v>
      </c>
      <c r="D757" s="252" t="s">
        <v>198</v>
      </c>
      <c r="E757" s="252" t="s">
        <v>798</v>
      </c>
      <c r="F757" s="252" t="s">
        <v>94</v>
      </c>
      <c r="G757" s="257"/>
      <c r="H757" s="257">
        <v>909</v>
      </c>
      <c r="I757" s="257">
        <v>0</v>
      </c>
      <c r="J757" s="257">
        <f t="shared" si="1331"/>
        <v>909</v>
      </c>
      <c r="K757" s="257">
        <v>-563.1</v>
      </c>
      <c r="L757" s="257">
        <v>363.5</v>
      </c>
      <c r="M757" s="257">
        <v>363.5</v>
      </c>
      <c r="N757" s="257">
        <f>-133.4+0.2</f>
        <v>-133.20000000000002</v>
      </c>
      <c r="O757" s="257">
        <f>M757+N757</f>
        <v>230.29999999999998</v>
      </c>
      <c r="P757" s="257">
        <v>268.7</v>
      </c>
      <c r="Q757" s="257">
        <v>-38.6</v>
      </c>
      <c r="R757" s="257">
        <f t="shared" si="1337"/>
        <v>230.1</v>
      </c>
      <c r="S757" s="257">
        <v>0</v>
      </c>
      <c r="T757" s="257">
        <f t="shared" ref="T757" si="1351">R757+S757</f>
        <v>230.1</v>
      </c>
      <c r="U757" s="257">
        <v>0</v>
      </c>
      <c r="V757" s="257">
        <v>230.1</v>
      </c>
      <c r="W757" s="257">
        <v>54.3</v>
      </c>
      <c r="X757" s="257">
        <v>284.39999999999998</v>
      </c>
      <c r="Y757" s="257">
        <v>-284.39999999999998</v>
      </c>
      <c r="Z757" s="257">
        <f t="shared" ref="Z757" si="1352">X757+Y757</f>
        <v>0</v>
      </c>
    </row>
    <row r="758" spans="1:26" ht="21" customHeight="1" x14ac:dyDescent="0.2">
      <c r="A758" s="259" t="s">
        <v>93</v>
      </c>
      <c r="B758" s="271">
        <v>801</v>
      </c>
      <c r="C758" s="252" t="s">
        <v>196</v>
      </c>
      <c r="D758" s="252" t="s">
        <v>198</v>
      </c>
      <c r="E758" s="252" t="s">
        <v>1270</v>
      </c>
      <c r="F758" s="252" t="s">
        <v>94</v>
      </c>
      <c r="G758" s="257"/>
      <c r="H758" s="257">
        <v>909</v>
      </c>
      <c r="I758" s="257">
        <v>0</v>
      </c>
      <c r="J758" s="257">
        <f t="shared" ref="J758" si="1353">H758+I758</f>
        <v>909</v>
      </c>
      <c r="K758" s="257">
        <v>-563.1</v>
      </c>
      <c r="L758" s="257">
        <v>363.5</v>
      </c>
      <c r="M758" s="257">
        <v>363.5</v>
      </c>
      <c r="N758" s="257">
        <f>-133.4+0.2</f>
        <v>-133.20000000000002</v>
      </c>
      <c r="O758" s="257">
        <f>M758+N758</f>
        <v>230.29999999999998</v>
      </c>
      <c r="P758" s="257">
        <v>268.7</v>
      </c>
      <c r="Q758" s="257">
        <v>-38.6</v>
      </c>
      <c r="R758" s="257">
        <f t="shared" ref="R758" si="1354">P758+Q758</f>
        <v>230.1</v>
      </c>
      <c r="S758" s="257">
        <v>0</v>
      </c>
      <c r="T758" s="257">
        <f t="shared" ref="T758" si="1355">R758+S758</f>
        <v>230.1</v>
      </c>
      <c r="U758" s="257">
        <v>0</v>
      </c>
      <c r="V758" s="257">
        <v>230.1</v>
      </c>
      <c r="W758" s="257">
        <v>54.3</v>
      </c>
      <c r="X758" s="257">
        <v>0</v>
      </c>
      <c r="Y758" s="257">
        <v>284.39999999999998</v>
      </c>
      <c r="Z758" s="257">
        <f t="shared" ref="Z758" si="1356">X758+Y758</f>
        <v>284.39999999999998</v>
      </c>
    </row>
    <row r="759" spans="1:26" ht="31.5" customHeight="1" x14ac:dyDescent="0.2">
      <c r="A759" s="259" t="s">
        <v>1268</v>
      </c>
      <c r="B759" s="271">
        <v>801</v>
      </c>
      <c r="C759" s="252" t="s">
        <v>196</v>
      </c>
      <c r="D759" s="252" t="s">
        <v>198</v>
      </c>
      <c r="E759" s="252" t="s">
        <v>1267</v>
      </c>
      <c r="F759" s="252"/>
      <c r="G759" s="257"/>
      <c r="H759" s="257">
        <f>H760</f>
        <v>133.80000000000001</v>
      </c>
      <c r="I759" s="257">
        <f>I760</f>
        <v>0</v>
      </c>
      <c r="J759" s="257">
        <f t="shared" si="1331"/>
        <v>133.80000000000001</v>
      </c>
      <c r="K759" s="257">
        <f>K760</f>
        <v>0</v>
      </c>
      <c r="L759" s="257">
        <f>L760</f>
        <v>202.9</v>
      </c>
      <c r="M759" s="257">
        <f>M760</f>
        <v>202.9</v>
      </c>
      <c r="N759" s="257">
        <f t="shared" ref="N759:W759" si="1357">N760</f>
        <v>-10.5</v>
      </c>
      <c r="O759" s="257">
        <f t="shared" si="1357"/>
        <v>192.4</v>
      </c>
      <c r="P759" s="257">
        <f t="shared" si="1357"/>
        <v>192.4</v>
      </c>
      <c r="Q759" s="257">
        <f t="shared" si="1357"/>
        <v>29.4</v>
      </c>
      <c r="R759" s="257">
        <f t="shared" si="1357"/>
        <v>221.8</v>
      </c>
      <c r="S759" s="257">
        <f t="shared" si="1357"/>
        <v>19.2</v>
      </c>
      <c r="T759" s="257">
        <f t="shared" si="1357"/>
        <v>241</v>
      </c>
      <c r="U759" s="257">
        <f t="shared" si="1357"/>
        <v>12.6</v>
      </c>
      <c r="V759" s="257">
        <f t="shared" si="1357"/>
        <v>253.6</v>
      </c>
      <c r="W759" s="257">
        <f t="shared" si="1357"/>
        <v>13.2</v>
      </c>
      <c r="X759" s="257">
        <f>X760+X761</f>
        <v>177.4</v>
      </c>
      <c r="Y759" s="257">
        <f t="shared" ref="Y759:Z759" si="1358">Y760+Y761</f>
        <v>108.6</v>
      </c>
      <c r="Z759" s="257">
        <f t="shared" si="1358"/>
        <v>286</v>
      </c>
    </row>
    <row r="760" spans="1:26" ht="21" customHeight="1" x14ac:dyDescent="0.2">
      <c r="A760" s="259" t="s">
        <v>93</v>
      </c>
      <c r="B760" s="271">
        <v>801</v>
      </c>
      <c r="C760" s="252" t="s">
        <v>196</v>
      </c>
      <c r="D760" s="252" t="s">
        <v>198</v>
      </c>
      <c r="E760" s="252" t="s">
        <v>797</v>
      </c>
      <c r="F760" s="252" t="s">
        <v>94</v>
      </c>
      <c r="G760" s="257"/>
      <c r="H760" s="257">
        <v>133.80000000000001</v>
      </c>
      <c r="I760" s="257">
        <v>0</v>
      </c>
      <c r="J760" s="257">
        <f t="shared" si="1331"/>
        <v>133.80000000000001</v>
      </c>
      <c r="K760" s="257">
        <v>0</v>
      </c>
      <c r="L760" s="257">
        <v>202.9</v>
      </c>
      <c r="M760" s="257">
        <v>202.9</v>
      </c>
      <c r="N760" s="257">
        <v>-10.5</v>
      </c>
      <c r="O760" s="257">
        <f>M760+N760</f>
        <v>192.4</v>
      </c>
      <c r="P760" s="257">
        <v>192.4</v>
      </c>
      <c r="Q760" s="257">
        <v>29.4</v>
      </c>
      <c r="R760" s="257">
        <f t="shared" si="1337"/>
        <v>221.8</v>
      </c>
      <c r="S760" s="257">
        <v>19.2</v>
      </c>
      <c r="T760" s="257">
        <f t="shared" ref="T760:T763" si="1359">R760+S760</f>
        <v>241</v>
      </c>
      <c r="U760" s="257">
        <v>12.6</v>
      </c>
      <c r="V760" s="257">
        <v>253.6</v>
      </c>
      <c r="W760" s="257">
        <v>13.2</v>
      </c>
      <c r="X760" s="257">
        <v>177.4</v>
      </c>
      <c r="Y760" s="257">
        <v>-177.4</v>
      </c>
      <c r="Z760" s="257">
        <f t="shared" ref="Z760" si="1360">X760+Y760</f>
        <v>0</v>
      </c>
    </row>
    <row r="761" spans="1:26" ht="21" customHeight="1" x14ac:dyDescent="0.2">
      <c r="A761" s="259" t="s">
        <v>93</v>
      </c>
      <c r="B761" s="271">
        <v>801</v>
      </c>
      <c r="C761" s="252" t="s">
        <v>196</v>
      </c>
      <c r="D761" s="252" t="s">
        <v>198</v>
      </c>
      <c r="E761" s="252" t="s">
        <v>1267</v>
      </c>
      <c r="F761" s="252" t="s">
        <v>94</v>
      </c>
      <c r="G761" s="257"/>
      <c r="H761" s="257">
        <v>133.80000000000001</v>
      </c>
      <c r="I761" s="257">
        <v>0</v>
      </c>
      <c r="J761" s="257">
        <f t="shared" ref="J761" si="1361">H761+I761</f>
        <v>133.80000000000001</v>
      </c>
      <c r="K761" s="257">
        <v>0</v>
      </c>
      <c r="L761" s="257">
        <v>202.9</v>
      </c>
      <c r="M761" s="257">
        <v>202.9</v>
      </c>
      <c r="N761" s="257">
        <v>-10.5</v>
      </c>
      <c r="O761" s="257">
        <f>M761+N761</f>
        <v>192.4</v>
      </c>
      <c r="P761" s="257">
        <v>192.4</v>
      </c>
      <c r="Q761" s="257">
        <v>29.4</v>
      </c>
      <c r="R761" s="257">
        <f t="shared" ref="R761" si="1362">P761+Q761</f>
        <v>221.8</v>
      </c>
      <c r="S761" s="257">
        <v>19.2</v>
      </c>
      <c r="T761" s="257">
        <f t="shared" ref="T761" si="1363">R761+S761</f>
        <v>241</v>
      </c>
      <c r="U761" s="257">
        <v>12.6</v>
      </c>
      <c r="V761" s="257">
        <v>253.6</v>
      </c>
      <c r="W761" s="257">
        <v>13.2</v>
      </c>
      <c r="X761" s="257">
        <v>0</v>
      </c>
      <c r="Y761" s="257">
        <v>286</v>
      </c>
      <c r="Z761" s="257">
        <f t="shared" ref="Z761" si="1364">X761+Y761</f>
        <v>286</v>
      </c>
    </row>
    <row r="762" spans="1:26" ht="15.75" hidden="1" customHeight="1" x14ac:dyDescent="0.2">
      <c r="A762" s="378" t="s">
        <v>218</v>
      </c>
      <c r="B762" s="249">
        <v>801</v>
      </c>
      <c r="C762" s="250" t="s">
        <v>196</v>
      </c>
      <c r="D762" s="250" t="s">
        <v>200</v>
      </c>
      <c r="E762" s="250"/>
      <c r="F762" s="250"/>
      <c r="G762" s="275" t="e">
        <f>#REF!+#REF!+#REF!</f>
        <v>#REF!</v>
      </c>
      <c r="H762" s="275" t="e">
        <f>#REF!+#REF!+#REF!+H763</f>
        <v>#REF!</v>
      </c>
      <c r="I762" s="275" t="e">
        <f>#REF!+#REF!+#REF!+I763</f>
        <v>#REF!</v>
      </c>
      <c r="J762" s="275" t="e">
        <f>H762+I762</f>
        <v>#REF!</v>
      </c>
      <c r="K762" s="275" t="e">
        <f>#REF!+#REF!+#REF!+K763+#REF!</f>
        <v>#REF!</v>
      </c>
      <c r="L762" s="275" t="e">
        <f>#REF!+#REF!+#REF!+L763+#REF!</f>
        <v>#REF!</v>
      </c>
      <c r="M762" s="275" t="e">
        <f>#REF!+#REF!+#REF!+M763+#REF!</f>
        <v>#REF!</v>
      </c>
      <c r="N762" s="275" t="e">
        <f>#REF!+#REF!+#REF!+N763+#REF!</f>
        <v>#REF!</v>
      </c>
      <c r="O762" s="275" t="e">
        <f>#REF!+#REF!+#REF!+O763+#REF!</f>
        <v>#REF!</v>
      </c>
      <c r="P762" s="275" t="e">
        <f>#REF!+#REF!+#REF!+P763+#REF!</f>
        <v>#REF!</v>
      </c>
      <c r="Q762" s="275" t="e">
        <f>#REF!+#REF!+#REF!+Q763+#REF!</f>
        <v>#REF!</v>
      </c>
      <c r="R762" s="257" t="e">
        <f t="shared" si="1337"/>
        <v>#REF!</v>
      </c>
      <c r="S762" s="257" t="e">
        <f t="shared" ref="S762:S763" si="1365">Q762+R762</f>
        <v>#REF!</v>
      </c>
      <c r="T762" s="257" t="e">
        <f t="shared" si="1359"/>
        <v>#REF!</v>
      </c>
      <c r="U762" s="257" t="e">
        <f t="shared" ref="U762:U763" si="1366">S762+T762</f>
        <v>#REF!</v>
      </c>
      <c r="V762" s="275">
        <f>V763</f>
        <v>30010.1</v>
      </c>
      <c r="W762" s="275">
        <f t="shared" ref="W762:Z762" si="1367">W763</f>
        <v>-16000</v>
      </c>
      <c r="X762" s="275">
        <f t="shared" si="1367"/>
        <v>0</v>
      </c>
      <c r="Y762" s="275">
        <f t="shared" si="1367"/>
        <v>0</v>
      </c>
      <c r="Z762" s="275">
        <f t="shared" si="1367"/>
        <v>0</v>
      </c>
    </row>
    <row r="763" spans="1:26" ht="30.75" hidden="1" customHeight="1" x14ac:dyDescent="0.2">
      <c r="A763" s="259" t="s">
        <v>1147</v>
      </c>
      <c r="B763" s="271">
        <v>801</v>
      </c>
      <c r="C763" s="252" t="s">
        <v>196</v>
      </c>
      <c r="D763" s="252" t="s">
        <v>200</v>
      </c>
      <c r="E763" s="252" t="s">
        <v>1177</v>
      </c>
      <c r="F763" s="252" t="s">
        <v>1067</v>
      </c>
      <c r="G763" s="275"/>
      <c r="H763" s="275"/>
      <c r="I763" s="257">
        <v>142.84</v>
      </c>
      <c r="J763" s="257">
        <f>H763+I763</f>
        <v>142.84</v>
      </c>
      <c r="K763" s="257">
        <v>0</v>
      </c>
      <c r="L763" s="257">
        <v>0</v>
      </c>
      <c r="M763" s="257">
        <v>0</v>
      </c>
      <c r="N763" s="257">
        <v>1</v>
      </c>
      <c r="O763" s="257">
        <v>2</v>
      </c>
      <c r="P763" s="257">
        <v>3</v>
      </c>
      <c r="Q763" s="257">
        <v>4</v>
      </c>
      <c r="R763" s="257">
        <f t="shared" si="1337"/>
        <v>7</v>
      </c>
      <c r="S763" s="257">
        <f t="shared" si="1365"/>
        <v>11</v>
      </c>
      <c r="T763" s="257">
        <f t="shared" si="1359"/>
        <v>18</v>
      </c>
      <c r="U763" s="257">
        <f t="shared" si="1366"/>
        <v>29</v>
      </c>
      <c r="V763" s="257">
        <v>30010.1</v>
      </c>
      <c r="W763" s="257">
        <v>-16000</v>
      </c>
      <c r="X763" s="257">
        <v>0</v>
      </c>
      <c r="Y763" s="257">
        <v>0</v>
      </c>
      <c r="Z763" s="257">
        <f t="shared" ref="Z763" si="1368">X763+Y763</f>
        <v>0</v>
      </c>
    </row>
    <row r="764" spans="1:26" ht="17.25" customHeight="1" x14ac:dyDescent="0.2">
      <c r="A764" s="462" t="s">
        <v>374</v>
      </c>
      <c r="B764" s="250" t="s">
        <v>146</v>
      </c>
      <c r="C764" s="250" t="s">
        <v>196</v>
      </c>
      <c r="D764" s="250" t="s">
        <v>212</v>
      </c>
      <c r="E764" s="250"/>
      <c r="F764" s="250"/>
      <c r="G764" s="257" t="e">
        <f>#REF!+G765</f>
        <v>#REF!</v>
      </c>
      <c r="H764" s="257">
        <f t="shared" ref="H764:Z764" si="1369">H765</f>
        <v>3319.6</v>
      </c>
      <c r="I764" s="257">
        <f t="shared" si="1369"/>
        <v>-495.14</v>
      </c>
      <c r="J764" s="257">
        <f t="shared" si="1369"/>
        <v>2824.46</v>
      </c>
      <c r="K764" s="257">
        <f t="shared" si="1369"/>
        <v>-955.1640000000001</v>
      </c>
      <c r="L764" s="275">
        <f t="shared" si="1369"/>
        <v>5024.79</v>
      </c>
      <c r="M764" s="275">
        <f t="shared" si="1369"/>
        <v>5165.82</v>
      </c>
      <c r="N764" s="275">
        <f t="shared" si="1369"/>
        <v>-894.32</v>
      </c>
      <c r="O764" s="275">
        <f t="shared" si="1369"/>
        <v>4271.5</v>
      </c>
      <c r="P764" s="275">
        <f t="shared" si="1369"/>
        <v>4397.8999999999996</v>
      </c>
      <c r="Q764" s="275">
        <f t="shared" si="1369"/>
        <v>21.8</v>
      </c>
      <c r="R764" s="275">
        <f t="shared" si="1369"/>
        <v>4419.7</v>
      </c>
      <c r="S764" s="275">
        <f t="shared" si="1369"/>
        <v>-3939.1</v>
      </c>
      <c r="T764" s="275">
        <f t="shared" si="1369"/>
        <v>4489.8999999999996</v>
      </c>
      <c r="U764" s="275">
        <f t="shared" si="1369"/>
        <v>-4489.8999999999996</v>
      </c>
      <c r="V764" s="275">
        <f t="shared" si="1369"/>
        <v>9005.81</v>
      </c>
      <c r="W764" s="275">
        <f t="shared" si="1369"/>
        <v>-5771.61</v>
      </c>
      <c r="X764" s="275">
        <f t="shared" si="1369"/>
        <v>10262.109243999999</v>
      </c>
      <c r="Y764" s="275">
        <f t="shared" si="1369"/>
        <v>1070.1500000000001</v>
      </c>
      <c r="Z764" s="275">
        <f t="shared" si="1369"/>
        <v>11332.259243999999</v>
      </c>
    </row>
    <row r="765" spans="1:26" ht="19.5" customHeight="1" x14ac:dyDescent="0.2">
      <c r="A765" s="259" t="s">
        <v>722</v>
      </c>
      <c r="B765" s="271">
        <v>801</v>
      </c>
      <c r="C765" s="252" t="s">
        <v>196</v>
      </c>
      <c r="D765" s="252" t="s">
        <v>212</v>
      </c>
      <c r="E765" s="252" t="s">
        <v>849</v>
      </c>
      <c r="F765" s="252"/>
      <c r="G765" s="257"/>
      <c r="H765" s="257">
        <f>H767</f>
        <v>3319.6</v>
      </c>
      <c r="I765" s="257">
        <f>I767</f>
        <v>-495.14</v>
      </c>
      <c r="J765" s="257">
        <f>H765+I765</f>
        <v>2824.46</v>
      </c>
      <c r="K765" s="257">
        <f>K767+K766</f>
        <v>-955.1640000000001</v>
      </c>
      <c r="L765" s="257">
        <f>L767+L766</f>
        <v>5024.79</v>
      </c>
      <c r="M765" s="257">
        <f>M767+M766</f>
        <v>5165.82</v>
      </c>
      <c r="N765" s="257">
        <f t="shared" ref="N765:R765" si="1370">N767+N766</f>
        <v>-894.32</v>
      </c>
      <c r="O765" s="257">
        <f t="shared" si="1370"/>
        <v>4271.5</v>
      </c>
      <c r="P765" s="257">
        <f t="shared" si="1370"/>
        <v>4397.8999999999996</v>
      </c>
      <c r="Q765" s="257">
        <f t="shared" si="1370"/>
        <v>21.8</v>
      </c>
      <c r="R765" s="257">
        <f t="shared" si="1370"/>
        <v>4419.7</v>
      </c>
      <c r="S765" s="257">
        <f t="shared" ref="S765:T765" si="1371">S767+S766</f>
        <v>-3939.1</v>
      </c>
      <c r="T765" s="257">
        <f t="shared" si="1371"/>
        <v>4489.8999999999996</v>
      </c>
      <c r="U765" s="257">
        <f t="shared" ref="U765:V765" si="1372">U767+U766</f>
        <v>-4489.8999999999996</v>
      </c>
      <c r="V765" s="257">
        <f t="shared" si="1372"/>
        <v>9005.81</v>
      </c>
      <c r="W765" s="257">
        <f t="shared" ref="W765" si="1373">W767+W766</f>
        <v>-5771.61</v>
      </c>
      <c r="X765" s="257">
        <f>X767+X766</f>
        <v>10262.109243999999</v>
      </c>
      <c r="Y765" s="257">
        <f t="shared" ref="Y765:Z765" si="1374">Y767+Y766</f>
        <v>1070.1500000000001</v>
      </c>
      <c r="Z765" s="257">
        <f t="shared" si="1374"/>
        <v>11332.259243999999</v>
      </c>
    </row>
    <row r="766" spans="1:26" ht="18" customHeight="1" x14ac:dyDescent="0.2">
      <c r="A766" s="259" t="s">
        <v>93</v>
      </c>
      <c r="B766" s="271">
        <v>801</v>
      </c>
      <c r="C766" s="252" t="s">
        <v>196</v>
      </c>
      <c r="D766" s="252" t="s">
        <v>212</v>
      </c>
      <c r="E766" s="252" t="s">
        <v>849</v>
      </c>
      <c r="F766" s="252" t="s">
        <v>94</v>
      </c>
      <c r="G766" s="257"/>
      <c r="H766" s="257"/>
      <c r="I766" s="257"/>
      <c r="J766" s="257"/>
      <c r="K766" s="257">
        <v>328.71600000000001</v>
      </c>
      <c r="L766" s="257">
        <v>5024.79</v>
      </c>
      <c r="M766" s="257">
        <v>5165.82</v>
      </c>
      <c r="N766" s="257">
        <v>-894.32</v>
      </c>
      <c r="O766" s="257">
        <f>M766+N766</f>
        <v>4271.5</v>
      </c>
      <c r="P766" s="257">
        <v>4397.8999999999996</v>
      </c>
      <c r="Q766" s="257">
        <v>21.8</v>
      </c>
      <c r="R766" s="257">
        <f t="shared" si="1337"/>
        <v>4419.7</v>
      </c>
      <c r="S766" s="257">
        <v>-3939.1</v>
      </c>
      <c r="T766" s="257">
        <v>4489.8999999999996</v>
      </c>
      <c r="U766" s="257">
        <v>-4489.8999999999996</v>
      </c>
      <c r="V766" s="257">
        <v>9005.81</v>
      </c>
      <c r="W766" s="257">
        <v>-5771.61</v>
      </c>
      <c r="X766" s="257">
        <v>10262.109243999999</v>
      </c>
      <c r="Y766" s="257">
        <v>1070.1500000000001</v>
      </c>
      <c r="Z766" s="257">
        <f t="shared" ref="Z766:Z767" si="1375">X766+Y766</f>
        <v>11332.259243999999</v>
      </c>
    </row>
    <row r="767" spans="1:26" ht="17.25" hidden="1" customHeight="1" x14ac:dyDescent="0.2">
      <c r="A767" s="259" t="s">
        <v>1309</v>
      </c>
      <c r="B767" s="271">
        <v>801</v>
      </c>
      <c r="C767" s="252" t="s">
        <v>196</v>
      </c>
      <c r="D767" s="252" t="s">
        <v>212</v>
      </c>
      <c r="E767" s="252" t="s">
        <v>849</v>
      </c>
      <c r="F767" s="252" t="s">
        <v>1308</v>
      </c>
      <c r="G767" s="257"/>
      <c r="H767" s="257">
        <v>3319.6</v>
      </c>
      <c r="I767" s="257">
        <v>-495.14</v>
      </c>
      <c r="J767" s="257">
        <f>H767+I767</f>
        <v>2824.46</v>
      </c>
      <c r="K767" s="257">
        <v>-1283.8800000000001</v>
      </c>
      <c r="L767" s="257">
        <v>0</v>
      </c>
      <c r="M767" s="257">
        <v>0</v>
      </c>
      <c r="N767" s="257">
        <v>0</v>
      </c>
      <c r="O767" s="257">
        <v>0</v>
      </c>
      <c r="P767" s="257">
        <v>0</v>
      </c>
      <c r="Q767" s="257">
        <v>0</v>
      </c>
      <c r="R767" s="257">
        <f t="shared" si="1337"/>
        <v>0</v>
      </c>
      <c r="S767" s="257">
        <f t="shared" ref="S767" si="1376">Q767+R767</f>
        <v>0</v>
      </c>
      <c r="T767" s="257">
        <f t="shared" ref="T767" si="1377">R767+S767</f>
        <v>0</v>
      </c>
      <c r="U767" s="257">
        <f t="shared" ref="U767" si="1378">S767+T767</f>
        <v>0</v>
      </c>
      <c r="V767" s="257">
        <f t="shared" ref="V767" si="1379">T767+U767</f>
        <v>0</v>
      </c>
      <c r="W767" s="257">
        <f t="shared" ref="W767" si="1380">U767+V767</f>
        <v>0</v>
      </c>
      <c r="X767" s="257">
        <f t="shared" ref="X767" si="1381">V767+W767</f>
        <v>0</v>
      </c>
      <c r="Y767" s="257">
        <f t="shared" ref="Y767" si="1382">W767+X767</f>
        <v>0</v>
      </c>
      <c r="Z767" s="257">
        <f t="shared" si="1375"/>
        <v>0</v>
      </c>
    </row>
    <row r="768" spans="1:26" ht="18.75" customHeight="1" x14ac:dyDescent="0.2">
      <c r="A768" s="462" t="s">
        <v>220</v>
      </c>
      <c r="B768" s="250" t="s">
        <v>146</v>
      </c>
      <c r="C768" s="250" t="s">
        <v>196</v>
      </c>
      <c r="D768" s="250">
        <v>12</v>
      </c>
      <c r="E768" s="250"/>
      <c r="F768" s="250"/>
      <c r="G768" s="257" t="e">
        <f>#REF!+#REF!+#REF!+#REF!+#REF!+G773+G776+G779</f>
        <v>#REF!</v>
      </c>
      <c r="H768" s="257" t="e">
        <f>H773+H776+H779</f>
        <v>#REF!</v>
      </c>
      <c r="I768" s="257" t="e">
        <f>I773+I776+I779</f>
        <v>#REF!</v>
      </c>
      <c r="J768" s="257" t="e">
        <f>J773+J776+J779</f>
        <v>#REF!</v>
      </c>
      <c r="K768" s="257" t="e">
        <f>K773+K776+K779</f>
        <v>#REF!</v>
      </c>
      <c r="L768" s="275" t="e">
        <f>L773+L776+L779+L771+L778</f>
        <v>#REF!</v>
      </c>
      <c r="M768" s="275" t="e">
        <f>M773+M776+M779+M771+M778</f>
        <v>#REF!</v>
      </c>
      <c r="N768" s="275" t="e">
        <f>N773+N776+N779+N771+N778</f>
        <v>#REF!</v>
      </c>
      <c r="O768" s="275" t="e">
        <f>O773+O776+O779+O771+O778</f>
        <v>#REF!</v>
      </c>
      <c r="P768" s="275" t="e">
        <f>P773+P776+P779+P771+P778</f>
        <v>#REF!</v>
      </c>
      <c r="Q768" s="275" t="e">
        <f t="shared" ref="Q768:V768" si="1383">Q773+Q776+Q779+Q771+Q778+Q769</f>
        <v>#REF!</v>
      </c>
      <c r="R768" s="275" t="e">
        <f t="shared" si="1383"/>
        <v>#REF!</v>
      </c>
      <c r="S768" s="275" t="e">
        <f t="shared" si="1383"/>
        <v>#REF!</v>
      </c>
      <c r="T768" s="275">
        <f t="shared" si="1383"/>
        <v>5017</v>
      </c>
      <c r="U768" s="275">
        <f t="shared" si="1383"/>
        <v>480</v>
      </c>
      <c r="V768" s="275">
        <f t="shared" si="1383"/>
        <v>4467</v>
      </c>
      <c r="W768" s="275">
        <f>W773+W776+W779+W771+W778+W769</f>
        <v>1901</v>
      </c>
      <c r="X768" s="275">
        <f t="shared" ref="X768:Z768" si="1384">X773+X776+X779+X771+X778+X769</f>
        <v>6137</v>
      </c>
      <c r="Y768" s="275">
        <f>Y773+Y776+Y779+Y771+Y778+Y769</f>
        <v>-390</v>
      </c>
      <c r="Z768" s="275">
        <f t="shared" si="1384"/>
        <v>5747</v>
      </c>
    </row>
    <row r="769" spans="1:26" ht="36.75" hidden="1" customHeight="1" x14ac:dyDescent="0.2">
      <c r="A769" s="259" t="s">
        <v>1040</v>
      </c>
      <c r="B769" s="271">
        <v>801</v>
      </c>
      <c r="C769" s="252" t="s">
        <v>196</v>
      </c>
      <c r="D769" s="252" t="s">
        <v>205</v>
      </c>
      <c r="E769" s="252" t="s">
        <v>834</v>
      </c>
      <c r="F769" s="252"/>
      <c r="G769" s="257"/>
      <c r="H769" s="257">
        <f>H770</f>
        <v>0.1</v>
      </c>
      <c r="I769" s="257">
        <f>I770</f>
        <v>0</v>
      </c>
      <c r="J769" s="257">
        <f t="shared" ref="J769:J770" si="1385">H769+I769</f>
        <v>0.1</v>
      </c>
      <c r="K769" s="257">
        <f>K770</f>
        <v>0</v>
      </c>
      <c r="L769" s="257">
        <f>L770</f>
        <v>0.1</v>
      </c>
      <c r="M769" s="257">
        <f>M770</f>
        <v>0.1</v>
      </c>
      <c r="N769" s="257">
        <f t="shared" ref="N769:Z769" si="1386">N770</f>
        <v>0</v>
      </c>
      <c r="O769" s="257">
        <f t="shared" si="1386"/>
        <v>0.1</v>
      </c>
      <c r="P769" s="257">
        <f t="shared" si="1386"/>
        <v>0</v>
      </c>
      <c r="Q769" s="257">
        <f t="shared" si="1386"/>
        <v>42.5</v>
      </c>
      <c r="R769" s="257">
        <f t="shared" si="1386"/>
        <v>42.5</v>
      </c>
      <c r="S769" s="257">
        <f t="shared" si="1386"/>
        <v>-42.5</v>
      </c>
      <c r="T769" s="257">
        <f t="shared" si="1386"/>
        <v>0</v>
      </c>
      <c r="U769" s="257">
        <f t="shared" si="1386"/>
        <v>0</v>
      </c>
      <c r="V769" s="257">
        <f t="shared" si="1386"/>
        <v>0</v>
      </c>
      <c r="W769" s="257">
        <f t="shared" si="1386"/>
        <v>0</v>
      </c>
      <c r="X769" s="257">
        <f t="shared" si="1386"/>
        <v>0</v>
      </c>
      <c r="Y769" s="257">
        <f t="shared" si="1386"/>
        <v>0</v>
      </c>
      <c r="Z769" s="257">
        <f t="shared" si="1386"/>
        <v>0</v>
      </c>
    </row>
    <row r="770" spans="1:26" ht="18.75" hidden="1" customHeight="1" x14ac:dyDescent="0.2">
      <c r="A770" s="259" t="s">
        <v>93</v>
      </c>
      <c r="B770" s="271">
        <v>801</v>
      </c>
      <c r="C770" s="252" t="s">
        <v>196</v>
      </c>
      <c r="D770" s="252" t="s">
        <v>205</v>
      </c>
      <c r="E770" s="252" t="s">
        <v>834</v>
      </c>
      <c r="F770" s="252" t="s">
        <v>94</v>
      </c>
      <c r="G770" s="257"/>
      <c r="H770" s="257">
        <v>0.1</v>
      </c>
      <c r="I770" s="257">
        <v>0</v>
      </c>
      <c r="J770" s="257">
        <f t="shared" si="1385"/>
        <v>0.1</v>
      </c>
      <c r="K770" s="257">
        <v>0</v>
      </c>
      <c r="L770" s="257">
        <v>0.1</v>
      </c>
      <c r="M770" s="257">
        <v>0.1</v>
      </c>
      <c r="N770" s="257">
        <v>0</v>
      </c>
      <c r="O770" s="257">
        <f>M770+N770</f>
        <v>0.1</v>
      </c>
      <c r="P770" s="257">
        <v>0</v>
      </c>
      <c r="Q770" s="257">
        <v>42.5</v>
      </c>
      <c r="R770" s="257">
        <f t="shared" ref="R770" si="1387">P770+Q770</f>
        <v>42.5</v>
      </c>
      <c r="S770" s="257">
        <v>-42.5</v>
      </c>
      <c r="T770" s="257">
        <f t="shared" ref="T770" si="1388">R770+S770</f>
        <v>0</v>
      </c>
      <c r="U770" s="257">
        <v>0</v>
      </c>
      <c r="V770" s="257">
        <f t="shared" ref="V770" si="1389">T770+U770</f>
        <v>0</v>
      </c>
      <c r="W770" s="257">
        <v>0</v>
      </c>
      <c r="X770" s="257">
        <f t="shared" ref="X770" si="1390">V770+W770</f>
        <v>0</v>
      </c>
      <c r="Y770" s="257">
        <v>0</v>
      </c>
      <c r="Z770" s="257">
        <f t="shared" ref="Z770" si="1391">X770+Y770</f>
        <v>0</v>
      </c>
    </row>
    <row r="771" spans="1:26" ht="56.25" hidden="1" customHeight="1" x14ac:dyDescent="0.2">
      <c r="A771" s="259" t="s">
        <v>951</v>
      </c>
      <c r="B771" s="252" t="s">
        <v>146</v>
      </c>
      <c r="C771" s="252" t="s">
        <v>196</v>
      </c>
      <c r="D771" s="252" t="s">
        <v>205</v>
      </c>
      <c r="E771" s="252" t="s">
        <v>950</v>
      </c>
      <c r="F771" s="252"/>
      <c r="G771" s="257"/>
      <c r="H771" s="257"/>
      <c r="I771" s="257"/>
      <c r="J771" s="257"/>
      <c r="K771" s="257"/>
      <c r="L771" s="257">
        <f>L772</f>
        <v>0</v>
      </c>
      <c r="M771" s="257">
        <f>M772</f>
        <v>0</v>
      </c>
      <c r="N771" s="257">
        <f t="shared" ref="N771:Z771" si="1392">N772</f>
        <v>0</v>
      </c>
      <c r="O771" s="257">
        <f t="shared" si="1392"/>
        <v>0</v>
      </c>
      <c r="P771" s="257">
        <f t="shared" si="1392"/>
        <v>0</v>
      </c>
      <c r="Q771" s="257">
        <f t="shared" si="1392"/>
        <v>0</v>
      </c>
      <c r="R771" s="257">
        <f t="shared" si="1392"/>
        <v>0</v>
      </c>
      <c r="S771" s="257">
        <f t="shared" si="1392"/>
        <v>0</v>
      </c>
      <c r="T771" s="257">
        <f t="shared" si="1392"/>
        <v>0</v>
      </c>
      <c r="U771" s="257">
        <f t="shared" si="1392"/>
        <v>0</v>
      </c>
      <c r="V771" s="257">
        <f t="shared" si="1392"/>
        <v>0</v>
      </c>
      <c r="W771" s="257">
        <f t="shared" si="1392"/>
        <v>0</v>
      </c>
      <c r="X771" s="257">
        <f t="shared" si="1392"/>
        <v>0</v>
      </c>
      <c r="Y771" s="257">
        <f t="shared" si="1392"/>
        <v>0</v>
      </c>
      <c r="Z771" s="257">
        <f t="shared" si="1392"/>
        <v>0</v>
      </c>
    </row>
    <row r="772" spans="1:26" ht="21.75" hidden="1" customHeight="1" x14ac:dyDescent="0.2">
      <c r="A772" s="259" t="s">
        <v>93</v>
      </c>
      <c r="B772" s="252" t="s">
        <v>146</v>
      </c>
      <c r="C772" s="252" t="s">
        <v>196</v>
      </c>
      <c r="D772" s="252" t="s">
        <v>205</v>
      </c>
      <c r="E772" s="252" t="s">
        <v>950</v>
      </c>
      <c r="F772" s="252" t="s">
        <v>94</v>
      </c>
      <c r="G772" s="257"/>
      <c r="H772" s="257"/>
      <c r="I772" s="257"/>
      <c r="J772" s="257"/>
      <c r="K772" s="257"/>
      <c r="L772" s="257">
        <v>0</v>
      </c>
      <c r="M772" s="257">
        <v>0</v>
      </c>
      <c r="N772" s="257">
        <v>0</v>
      </c>
      <c r="O772" s="257">
        <f>M772+N772</f>
        <v>0</v>
      </c>
      <c r="P772" s="257">
        <v>0</v>
      </c>
      <c r="Q772" s="257">
        <v>0</v>
      </c>
      <c r="R772" s="257">
        <f t="shared" si="1337"/>
        <v>0</v>
      </c>
      <c r="S772" s="257">
        <f t="shared" ref="S772" si="1393">Q772+R772</f>
        <v>0</v>
      </c>
      <c r="T772" s="257">
        <f t="shared" ref="T772" si="1394">R772+S772</f>
        <v>0</v>
      </c>
      <c r="U772" s="257">
        <f t="shared" ref="U772" si="1395">S772+T772</f>
        <v>0</v>
      </c>
      <c r="V772" s="257">
        <f t="shared" ref="V772" si="1396">T772+U772</f>
        <v>0</v>
      </c>
      <c r="W772" s="257">
        <f t="shared" ref="W772" si="1397">U772+V772</f>
        <v>0</v>
      </c>
      <c r="X772" s="257">
        <f t="shared" ref="X772" si="1398">V772+W772</f>
        <v>0</v>
      </c>
      <c r="Y772" s="257">
        <f t="shared" ref="Y772" si="1399">W772+X772</f>
        <v>0</v>
      </c>
      <c r="Z772" s="257">
        <f t="shared" ref="Z772" si="1400">X772+Y772</f>
        <v>0</v>
      </c>
    </row>
    <row r="773" spans="1:26" ht="48.75" customHeight="1" x14ac:dyDescent="0.2">
      <c r="A773" s="259" t="s">
        <v>1006</v>
      </c>
      <c r="B773" s="252" t="s">
        <v>146</v>
      </c>
      <c r="C773" s="252" t="s">
        <v>196</v>
      </c>
      <c r="D773" s="252" t="s">
        <v>205</v>
      </c>
      <c r="E773" s="252" t="s">
        <v>824</v>
      </c>
      <c r="F773" s="252"/>
      <c r="G773" s="257"/>
      <c r="H773" s="257" t="e">
        <f>H774+H775+#REF!</f>
        <v>#REF!</v>
      </c>
      <c r="I773" s="257" t="e">
        <f>I774+I775+#REF!</f>
        <v>#REF!</v>
      </c>
      <c r="J773" s="257" t="e">
        <f>H773+I773</f>
        <v>#REF!</v>
      </c>
      <c r="K773" s="257" t="e">
        <f>K774+K775+#REF!</f>
        <v>#REF!</v>
      </c>
      <c r="L773" s="257" t="e">
        <f>L774+L775+#REF!</f>
        <v>#REF!</v>
      </c>
      <c r="M773" s="257" t="e">
        <f>M774+M775+#REF!</f>
        <v>#REF!</v>
      </c>
      <c r="N773" s="257" t="e">
        <f>N774+N775+#REF!</f>
        <v>#REF!</v>
      </c>
      <c r="O773" s="257" t="e">
        <f>O774+O775+#REF!</f>
        <v>#REF!</v>
      </c>
      <c r="P773" s="257" t="e">
        <f>P774+P775+#REF!</f>
        <v>#REF!</v>
      </c>
      <c r="Q773" s="257" t="e">
        <f>Q774+Q775+#REF!</f>
        <v>#REF!</v>
      </c>
      <c r="R773" s="257">
        <f>R774+R775</f>
        <v>440</v>
      </c>
      <c r="S773" s="257">
        <f t="shared" ref="S773:T773" si="1401">S774+S775</f>
        <v>-240</v>
      </c>
      <c r="T773" s="257">
        <f t="shared" si="1401"/>
        <v>440</v>
      </c>
      <c r="U773" s="257">
        <f t="shared" ref="U773:V773" si="1402">U774+U775</f>
        <v>-40</v>
      </c>
      <c r="V773" s="257">
        <f t="shared" si="1402"/>
        <v>440</v>
      </c>
      <c r="W773" s="257">
        <f t="shared" ref="W773:X773" si="1403">W774+W775</f>
        <v>110</v>
      </c>
      <c r="X773" s="257">
        <f t="shared" si="1403"/>
        <v>440</v>
      </c>
      <c r="Y773" s="257">
        <f t="shared" ref="Y773:Z773" si="1404">Y774+Y775</f>
        <v>0</v>
      </c>
      <c r="Z773" s="257">
        <f t="shared" si="1404"/>
        <v>440</v>
      </c>
    </row>
    <row r="774" spans="1:26" ht="20.25" customHeight="1" x14ac:dyDescent="0.2">
      <c r="A774" s="259" t="s">
        <v>519</v>
      </c>
      <c r="B774" s="252" t="s">
        <v>146</v>
      </c>
      <c r="C774" s="252" t="s">
        <v>196</v>
      </c>
      <c r="D774" s="252" t="s">
        <v>205</v>
      </c>
      <c r="E774" s="252" t="s">
        <v>823</v>
      </c>
      <c r="F774" s="252" t="s">
        <v>94</v>
      </c>
      <c r="G774" s="257"/>
      <c r="H774" s="257">
        <v>250</v>
      </c>
      <c r="I774" s="257">
        <v>0</v>
      </c>
      <c r="J774" s="257">
        <f t="shared" ref="J774:J792" si="1405">H774+I774</f>
        <v>250</v>
      </c>
      <c r="K774" s="257">
        <v>0</v>
      </c>
      <c r="L774" s="257">
        <v>200</v>
      </c>
      <c r="M774" s="257">
        <v>200</v>
      </c>
      <c r="N774" s="257">
        <v>0</v>
      </c>
      <c r="O774" s="257">
        <f>M774+N774</f>
        <v>200</v>
      </c>
      <c r="P774" s="257">
        <v>200</v>
      </c>
      <c r="Q774" s="257">
        <v>0</v>
      </c>
      <c r="R774" s="257">
        <f t="shared" si="1337"/>
        <v>200</v>
      </c>
      <c r="S774" s="257">
        <v>-100</v>
      </c>
      <c r="T774" s="257">
        <v>200</v>
      </c>
      <c r="U774" s="257">
        <v>0</v>
      </c>
      <c r="V774" s="257">
        <v>200</v>
      </c>
      <c r="W774" s="257">
        <v>100</v>
      </c>
      <c r="X774" s="257">
        <v>200</v>
      </c>
      <c r="Y774" s="257">
        <v>0</v>
      </c>
      <c r="Z774" s="257">
        <f t="shared" ref="Z774:Z775" si="1406">X774+Y774</f>
        <v>200</v>
      </c>
    </row>
    <row r="775" spans="1:26" ht="18.75" customHeight="1" x14ac:dyDescent="0.2">
      <c r="A775" s="259" t="s">
        <v>520</v>
      </c>
      <c r="B775" s="252" t="s">
        <v>146</v>
      </c>
      <c r="C775" s="252" t="s">
        <v>196</v>
      </c>
      <c r="D775" s="252" t="s">
        <v>205</v>
      </c>
      <c r="E775" s="252" t="s">
        <v>822</v>
      </c>
      <c r="F775" s="252" t="s">
        <v>94</v>
      </c>
      <c r="G775" s="257"/>
      <c r="H775" s="257">
        <v>300</v>
      </c>
      <c r="I775" s="257">
        <v>0</v>
      </c>
      <c r="J775" s="257">
        <f t="shared" si="1405"/>
        <v>300</v>
      </c>
      <c r="K775" s="257">
        <v>0</v>
      </c>
      <c r="L775" s="257">
        <v>240</v>
      </c>
      <c r="M775" s="257">
        <v>240</v>
      </c>
      <c r="N775" s="257">
        <v>0</v>
      </c>
      <c r="O775" s="257">
        <f t="shared" ref="O775" si="1407">M775+N775</f>
        <v>240</v>
      </c>
      <c r="P775" s="257">
        <v>240</v>
      </c>
      <c r="Q775" s="257">
        <v>0</v>
      </c>
      <c r="R775" s="257">
        <f t="shared" si="1337"/>
        <v>240</v>
      </c>
      <c r="S775" s="257">
        <v>-140</v>
      </c>
      <c r="T775" s="257">
        <v>240</v>
      </c>
      <c r="U775" s="257">
        <v>-40</v>
      </c>
      <c r="V775" s="257">
        <v>240</v>
      </c>
      <c r="W775" s="257">
        <v>10</v>
      </c>
      <c r="X775" s="257">
        <v>240</v>
      </c>
      <c r="Y775" s="257">
        <v>0</v>
      </c>
      <c r="Z775" s="257">
        <f t="shared" si="1406"/>
        <v>240</v>
      </c>
    </row>
    <row r="776" spans="1:26" ht="19.5" hidden="1" customHeight="1" x14ac:dyDescent="0.2">
      <c r="A776" s="259" t="s">
        <v>723</v>
      </c>
      <c r="B776" s="252" t="s">
        <v>146</v>
      </c>
      <c r="C776" s="252" t="s">
        <v>196</v>
      </c>
      <c r="D776" s="252" t="s">
        <v>205</v>
      </c>
      <c r="E776" s="252" t="s">
        <v>820</v>
      </c>
      <c r="F776" s="252"/>
      <c r="G776" s="257"/>
      <c r="H776" s="257">
        <f>H777</f>
        <v>100</v>
      </c>
      <c r="I776" s="257">
        <f>I777</f>
        <v>0</v>
      </c>
      <c r="J776" s="257">
        <f t="shared" si="1405"/>
        <v>100</v>
      </c>
      <c r="K776" s="257">
        <f>K777</f>
        <v>0</v>
      </c>
      <c r="L776" s="257">
        <f>L777</f>
        <v>50</v>
      </c>
      <c r="M776" s="257">
        <f>M777</f>
        <v>50</v>
      </c>
      <c r="N776" s="257">
        <f t="shared" ref="N776:Z776" si="1408">N777</f>
        <v>0</v>
      </c>
      <c r="O776" s="257">
        <f t="shared" si="1408"/>
        <v>50</v>
      </c>
      <c r="P776" s="257">
        <f t="shared" si="1408"/>
        <v>50</v>
      </c>
      <c r="Q776" s="257">
        <f t="shared" si="1408"/>
        <v>0</v>
      </c>
      <c r="R776" s="257">
        <f t="shared" si="1408"/>
        <v>50</v>
      </c>
      <c r="S776" s="257">
        <f t="shared" si="1408"/>
        <v>-50</v>
      </c>
      <c r="T776" s="257">
        <f t="shared" si="1408"/>
        <v>0</v>
      </c>
      <c r="U776" s="257">
        <f t="shared" si="1408"/>
        <v>0</v>
      </c>
      <c r="V776" s="257">
        <f t="shared" si="1408"/>
        <v>0</v>
      </c>
      <c r="W776" s="257">
        <f t="shared" si="1408"/>
        <v>0</v>
      </c>
      <c r="X776" s="257">
        <f t="shared" si="1408"/>
        <v>0</v>
      </c>
      <c r="Y776" s="257">
        <f t="shared" si="1408"/>
        <v>0</v>
      </c>
      <c r="Z776" s="257">
        <f t="shared" si="1408"/>
        <v>0</v>
      </c>
    </row>
    <row r="777" spans="1:26" ht="18" hidden="1" customHeight="1" x14ac:dyDescent="0.2">
      <c r="A777" s="259" t="s">
        <v>93</v>
      </c>
      <c r="B777" s="252" t="s">
        <v>146</v>
      </c>
      <c r="C777" s="252" t="s">
        <v>196</v>
      </c>
      <c r="D777" s="252" t="s">
        <v>205</v>
      </c>
      <c r="E777" s="252" t="s">
        <v>820</v>
      </c>
      <c r="F777" s="252" t="s">
        <v>94</v>
      </c>
      <c r="G777" s="257"/>
      <c r="H777" s="257">
        <v>100</v>
      </c>
      <c r="I777" s="257">
        <v>0</v>
      </c>
      <c r="J777" s="257">
        <f t="shared" si="1405"/>
        <v>100</v>
      </c>
      <c r="K777" s="257">
        <v>0</v>
      </c>
      <c r="L777" s="257">
        <v>50</v>
      </c>
      <c r="M777" s="257">
        <v>50</v>
      </c>
      <c r="N777" s="257">
        <v>0</v>
      </c>
      <c r="O777" s="257">
        <f>N777+M777</f>
        <v>50</v>
      </c>
      <c r="P777" s="257">
        <v>50</v>
      </c>
      <c r="Q777" s="257">
        <v>0</v>
      </c>
      <c r="R777" s="257">
        <f t="shared" si="1337"/>
        <v>50</v>
      </c>
      <c r="S777" s="257">
        <v>-50</v>
      </c>
      <c r="T777" s="257">
        <f t="shared" ref="T777:T778" si="1409">R777+S777</f>
        <v>0</v>
      </c>
      <c r="U777" s="257">
        <v>0</v>
      </c>
      <c r="V777" s="257">
        <f t="shared" ref="V777:V778" si="1410">T777+U777</f>
        <v>0</v>
      </c>
      <c r="W777" s="257">
        <v>0</v>
      </c>
      <c r="X777" s="257">
        <f t="shared" ref="X777:X778" si="1411">V777+W777</f>
        <v>0</v>
      </c>
      <c r="Y777" s="257">
        <v>0</v>
      </c>
      <c r="Z777" s="257">
        <f t="shared" ref="Z777:Z778" si="1412">X777+Y777</f>
        <v>0</v>
      </c>
    </row>
    <row r="778" spans="1:26" ht="18" hidden="1" customHeight="1" x14ac:dyDescent="0.2">
      <c r="A778" s="259"/>
      <c r="B778" s="252" t="s">
        <v>146</v>
      </c>
      <c r="C778" s="252" t="s">
        <v>196</v>
      </c>
      <c r="D778" s="252" t="s">
        <v>205</v>
      </c>
      <c r="E778" s="252" t="s">
        <v>1008</v>
      </c>
      <c r="F778" s="252" t="s">
        <v>94</v>
      </c>
      <c r="G778" s="257"/>
      <c r="H778" s="257"/>
      <c r="I778" s="257"/>
      <c r="J778" s="257"/>
      <c r="K778" s="257"/>
      <c r="L778" s="257">
        <v>700</v>
      </c>
      <c r="M778" s="257">
        <v>0</v>
      </c>
      <c r="N778" s="257">
        <v>0</v>
      </c>
      <c r="O778" s="257">
        <f>N778+M778</f>
        <v>0</v>
      </c>
      <c r="P778" s="257">
        <v>0</v>
      </c>
      <c r="Q778" s="257">
        <v>0</v>
      </c>
      <c r="R778" s="257">
        <f t="shared" si="1337"/>
        <v>0</v>
      </c>
      <c r="S778" s="257">
        <f t="shared" ref="S778" si="1413">Q778+R778</f>
        <v>0</v>
      </c>
      <c r="T778" s="257">
        <f t="shared" si="1409"/>
        <v>0</v>
      </c>
      <c r="U778" s="257">
        <f t="shared" ref="U778" si="1414">S778+T778</f>
        <v>0</v>
      </c>
      <c r="V778" s="257">
        <f t="shared" si="1410"/>
        <v>0</v>
      </c>
      <c r="W778" s="257">
        <f t="shared" ref="W778" si="1415">U778+V778</f>
        <v>0</v>
      </c>
      <c r="X778" s="257">
        <f t="shared" si="1411"/>
        <v>0</v>
      </c>
      <c r="Y778" s="257">
        <f t="shared" ref="Y778" si="1416">W778+X778</f>
        <v>0</v>
      </c>
      <c r="Z778" s="257">
        <f t="shared" si="1412"/>
        <v>0</v>
      </c>
    </row>
    <row r="779" spans="1:26" ht="21" customHeight="1" x14ac:dyDescent="0.2">
      <c r="A779" s="462" t="s">
        <v>1100</v>
      </c>
      <c r="B779" s="250" t="s">
        <v>146</v>
      </c>
      <c r="C779" s="250" t="s">
        <v>196</v>
      </c>
      <c r="D779" s="250" t="s">
        <v>205</v>
      </c>
      <c r="E779" s="250" t="s">
        <v>819</v>
      </c>
      <c r="F779" s="252"/>
      <c r="G779" s="257"/>
      <c r="H779" s="257">
        <f>H792</f>
        <v>2760</v>
      </c>
      <c r="I779" s="257">
        <f>I792</f>
        <v>463.46</v>
      </c>
      <c r="J779" s="257">
        <f t="shared" si="1405"/>
        <v>3223.46</v>
      </c>
      <c r="K779" s="257">
        <f t="shared" ref="K779:Q779" si="1417">K792</f>
        <v>0</v>
      </c>
      <c r="L779" s="257">
        <f t="shared" si="1417"/>
        <v>3282</v>
      </c>
      <c r="M779" s="257">
        <f t="shared" si="1417"/>
        <v>3282</v>
      </c>
      <c r="N779" s="257">
        <f t="shared" si="1417"/>
        <v>368</v>
      </c>
      <c r="O779" s="257">
        <f t="shared" si="1417"/>
        <v>3650</v>
      </c>
      <c r="P779" s="257">
        <f t="shared" si="1417"/>
        <v>3650</v>
      </c>
      <c r="Q779" s="257">
        <f t="shared" si="1417"/>
        <v>0</v>
      </c>
      <c r="R779" s="275" t="e">
        <f>R780+R786+#REF!+R787+R788+R789+R790+#REF!+#REF!+R791+R792</f>
        <v>#REF!</v>
      </c>
      <c r="S779" s="275" t="e">
        <f>S780+S786+#REF!+S787+S788+S789+S790+#REF!+#REF!+S791+S792</f>
        <v>#REF!</v>
      </c>
      <c r="T779" s="275">
        <f>T780+T781+T782+T783+T786+T787+T788+T791</f>
        <v>4577</v>
      </c>
      <c r="U779" s="275">
        <f t="shared" ref="U779:V779" si="1418">U780+U781+U782+U783+U786+U787+U788+U791</f>
        <v>520</v>
      </c>
      <c r="V779" s="275">
        <f t="shared" si="1418"/>
        <v>4027</v>
      </c>
      <c r="W779" s="275">
        <f t="shared" ref="W779" si="1419">W780+W781+W782+W783+W786+W787+W788+W791</f>
        <v>1791</v>
      </c>
      <c r="X779" s="275">
        <f>X780+X781+X782+X783+X786+X787+X788+X791+X784+X785</f>
        <v>5697</v>
      </c>
      <c r="Y779" s="275">
        <f t="shared" ref="Y779:Z779" si="1420">Y780+Y781+Y782+Y783+Y786+Y787+Y788+Y791+Y784+Y785</f>
        <v>-390</v>
      </c>
      <c r="Z779" s="275">
        <f t="shared" si="1420"/>
        <v>5307</v>
      </c>
    </row>
    <row r="780" spans="1:26" ht="18.75" customHeight="1" x14ac:dyDescent="0.2">
      <c r="A780" s="259" t="s">
        <v>897</v>
      </c>
      <c r="B780" s="252" t="s">
        <v>146</v>
      </c>
      <c r="C780" s="252" t="s">
        <v>196</v>
      </c>
      <c r="D780" s="252" t="s">
        <v>205</v>
      </c>
      <c r="E780" s="252" t="s">
        <v>819</v>
      </c>
      <c r="F780" s="252" t="s">
        <v>832</v>
      </c>
      <c r="G780" s="257"/>
      <c r="H780" s="257"/>
      <c r="I780" s="257"/>
      <c r="J780" s="257"/>
      <c r="K780" s="257"/>
      <c r="L780" s="257"/>
      <c r="M780" s="257"/>
      <c r="N780" s="257"/>
      <c r="O780" s="257"/>
      <c r="P780" s="257"/>
      <c r="Q780" s="257"/>
      <c r="R780" s="257">
        <v>0</v>
      </c>
      <c r="S780" s="257">
        <f>2097</f>
        <v>2097</v>
      </c>
      <c r="T780" s="257">
        <f>R780+S780</f>
        <v>2097</v>
      </c>
      <c r="U780" s="257">
        <v>439</v>
      </c>
      <c r="V780" s="257">
        <v>2097</v>
      </c>
      <c r="W780" s="257">
        <v>225</v>
      </c>
      <c r="X780" s="257">
        <v>2955</v>
      </c>
      <c r="Y780" s="257">
        <v>-576</v>
      </c>
      <c r="Z780" s="257">
        <f>X780+Y780</f>
        <v>2379</v>
      </c>
    </row>
    <row r="781" spans="1:26" ht="29.25" customHeight="1" x14ac:dyDescent="0.2">
      <c r="A781" s="375" t="s">
        <v>900</v>
      </c>
      <c r="B781" s="252" t="s">
        <v>146</v>
      </c>
      <c r="C781" s="252" t="s">
        <v>196</v>
      </c>
      <c r="D781" s="252" t="s">
        <v>205</v>
      </c>
      <c r="E781" s="252" t="s">
        <v>819</v>
      </c>
      <c r="F781" s="252" t="s">
        <v>899</v>
      </c>
      <c r="G781" s="257"/>
      <c r="H781" s="257"/>
      <c r="I781" s="257"/>
      <c r="J781" s="257"/>
      <c r="K781" s="257"/>
      <c r="L781" s="257"/>
      <c r="M781" s="257"/>
      <c r="N781" s="257"/>
      <c r="O781" s="257"/>
      <c r="P781" s="257"/>
      <c r="Q781" s="257"/>
      <c r="R781" s="257">
        <v>0</v>
      </c>
      <c r="S781" s="257">
        <f>630</f>
        <v>630</v>
      </c>
      <c r="T781" s="257">
        <f t="shared" ref="T781:T783" si="1421">R781+S781</f>
        <v>630</v>
      </c>
      <c r="U781" s="257">
        <v>133</v>
      </c>
      <c r="V781" s="257">
        <v>630</v>
      </c>
      <c r="W781" s="257">
        <v>68</v>
      </c>
      <c r="X781" s="257">
        <v>892</v>
      </c>
      <c r="Y781" s="257">
        <v>-174</v>
      </c>
      <c r="Z781" s="257">
        <f t="shared" ref="Z781:Z792" si="1422">X781+Y781</f>
        <v>718</v>
      </c>
    </row>
    <row r="782" spans="1:26" ht="18.75" customHeight="1" x14ac:dyDescent="0.2">
      <c r="A782" s="259" t="s">
        <v>897</v>
      </c>
      <c r="B782" s="252" t="s">
        <v>146</v>
      </c>
      <c r="C782" s="252" t="s">
        <v>196</v>
      </c>
      <c r="D782" s="252" t="s">
        <v>205</v>
      </c>
      <c r="E782" s="252" t="s">
        <v>1101</v>
      </c>
      <c r="F782" s="252" t="s">
        <v>832</v>
      </c>
      <c r="G782" s="257"/>
      <c r="H782" s="257"/>
      <c r="I782" s="257"/>
      <c r="J782" s="257"/>
      <c r="K782" s="257"/>
      <c r="L782" s="257"/>
      <c r="M782" s="257"/>
      <c r="N782" s="257"/>
      <c r="O782" s="257"/>
      <c r="P782" s="257"/>
      <c r="Q782" s="257"/>
      <c r="R782" s="257">
        <v>0</v>
      </c>
      <c r="S782" s="257">
        <f>420</f>
        <v>420</v>
      </c>
      <c r="T782" s="257">
        <f t="shared" si="1421"/>
        <v>420</v>
      </c>
      <c r="U782" s="257">
        <v>0</v>
      </c>
      <c r="V782" s="257">
        <v>0</v>
      </c>
      <c r="W782" s="257">
        <v>420</v>
      </c>
      <c r="X782" s="257">
        <v>420</v>
      </c>
      <c r="Y782" s="257">
        <v>-420</v>
      </c>
      <c r="Z782" s="257">
        <f t="shared" si="1422"/>
        <v>0</v>
      </c>
    </row>
    <row r="783" spans="1:26" ht="30" customHeight="1" x14ac:dyDescent="0.2">
      <c r="A783" s="375" t="s">
        <v>900</v>
      </c>
      <c r="B783" s="252" t="s">
        <v>146</v>
      </c>
      <c r="C783" s="252" t="s">
        <v>196</v>
      </c>
      <c r="D783" s="252" t="s">
        <v>205</v>
      </c>
      <c r="E783" s="252" t="s">
        <v>1101</v>
      </c>
      <c r="F783" s="252" t="s">
        <v>899</v>
      </c>
      <c r="G783" s="257"/>
      <c r="H783" s="257"/>
      <c r="I783" s="257"/>
      <c r="J783" s="257"/>
      <c r="K783" s="257"/>
      <c r="L783" s="257"/>
      <c r="M783" s="257"/>
      <c r="N783" s="257"/>
      <c r="O783" s="257"/>
      <c r="P783" s="257"/>
      <c r="Q783" s="257"/>
      <c r="R783" s="257">
        <v>0</v>
      </c>
      <c r="S783" s="257">
        <f>130</f>
        <v>130</v>
      </c>
      <c r="T783" s="257">
        <f t="shared" si="1421"/>
        <v>130</v>
      </c>
      <c r="U783" s="257">
        <v>0</v>
      </c>
      <c r="V783" s="257">
        <v>0</v>
      </c>
      <c r="W783" s="257">
        <v>130</v>
      </c>
      <c r="X783" s="257">
        <v>130</v>
      </c>
      <c r="Y783" s="257">
        <v>-130</v>
      </c>
      <c r="Z783" s="257">
        <f t="shared" si="1422"/>
        <v>0</v>
      </c>
    </row>
    <row r="784" spans="1:26" ht="18.75" customHeight="1" x14ac:dyDescent="0.2">
      <c r="A784" s="259" t="s">
        <v>897</v>
      </c>
      <c r="B784" s="252" t="s">
        <v>146</v>
      </c>
      <c r="C784" s="252" t="s">
        <v>196</v>
      </c>
      <c r="D784" s="252" t="s">
        <v>205</v>
      </c>
      <c r="E784" s="252" t="s">
        <v>1290</v>
      </c>
      <c r="F784" s="252" t="s">
        <v>832</v>
      </c>
      <c r="G784" s="257"/>
      <c r="H784" s="257"/>
      <c r="I784" s="257"/>
      <c r="J784" s="257"/>
      <c r="K784" s="257"/>
      <c r="L784" s="257"/>
      <c r="M784" s="257"/>
      <c r="N784" s="257"/>
      <c r="O784" s="257"/>
      <c r="P784" s="257"/>
      <c r="Q784" s="257"/>
      <c r="R784" s="257">
        <v>0</v>
      </c>
      <c r="S784" s="257">
        <f>420</f>
        <v>420</v>
      </c>
      <c r="T784" s="257">
        <f t="shared" ref="T784:T785" si="1423">R784+S784</f>
        <v>420</v>
      </c>
      <c r="U784" s="257">
        <v>0</v>
      </c>
      <c r="V784" s="257">
        <v>0</v>
      </c>
      <c r="W784" s="257">
        <v>420</v>
      </c>
      <c r="X784" s="257">
        <v>0</v>
      </c>
      <c r="Y784" s="257">
        <v>700</v>
      </c>
      <c r="Z784" s="257">
        <f t="shared" ref="Z784:Z785" si="1424">X784+Y784</f>
        <v>700</v>
      </c>
    </row>
    <row r="785" spans="1:26" ht="30" customHeight="1" x14ac:dyDescent="0.2">
      <c r="A785" s="375" t="s">
        <v>900</v>
      </c>
      <c r="B785" s="252" t="s">
        <v>146</v>
      </c>
      <c r="C785" s="252" t="s">
        <v>196</v>
      </c>
      <c r="D785" s="252" t="s">
        <v>205</v>
      </c>
      <c r="E785" s="252" t="s">
        <v>1290</v>
      </c>
      <c r="F785" s="252" t="s">
        <v>899</v>
      </c>
      <c r="G785" s="257"/>
      <c r="H785" s="257"/>
      <c r="I785" s="257"/>
      <c r="J785" s="257"/>
      <c r="K785" s="257"/>
      <c r="L785" s="257"/>
      <c r="M785" s="257"/>
      <c r="N785" s="257"/>
      <c r="O785" s="257"/>
      <c r="P785" s="257"/>
      <c r="Q785" s="257"/>
      <c r="R785" s="257">
        <v>0</v>
      </c>
      <c r="S785" s="257">
        <f>130</f>
        <v>130</v>
      </c>
      <c r="T785" s="257">
        <f t="shared" si="1423"/>
        <v>130</v>
      </c>
      <c r="U785" s="257">
        <v>0</v>
      </c>
      <c r="V785" s="257">
        <v>0</v>
      </c>
      <c r="W785" s="257">
        <v>130</v>
      </c>
      <c r="X785" s="257">
        <v>0</v>
      </c>
      <c r="Y785" s="257">
        <v>210</v>
      </c>
      <c r="Z785" s="257">
        <f t="shared" si="1424"/>
        <v>210</v>
      </c>
    </row>
    <row r="786" spans="1:26" ht="20.25" customHeight="1" x14ac:dyDescent="0.2">
      <c r="A786" s="259" t="s">
        <v>952</v>
      </c>
      <c r="B786" s="252" t="s">
        <v>146</v>
      </c>
      <c r="C786" s="252" t="s">
        <v>196</v>
      </c>
      <c r="D786" s="252" t="s">
        <v>205</v>
      </c>
      <c r="E786" s="252" t="s">
        <v>819</v>
      </c>
      <c r="F786" s="252" t="s">
        <v>919</v>
      </c>
      <c r="G786" s="257"/>
      <c r="H786" s="257"/>
      <c r="I786" s="257"/>
      <c r="J786" s="257"/>
      <c r="K786" s="257"/>
      <c r="L786" s="257"/>
      <c r="M786" s="257"/>
      <c r="N786" s="257"/>
      <c r="O786" s="257"/>
      <c r="P786" s="257"/>
      <c r="Q786" s="257"/>
      <c r="R786" s="257">
        <v>0</v>
      </c>
      <c r="S786" s="257">
        <v>18</v>
      </c>
      <c r="T786" s="257">
        <f t="shared" ref="T786:T790" si="1425">R786+S786</f>
        <v>18</v>
      </c>
      <c r="U786" s="257">
        <v>0</v>
      </c>
      <c r="V786" s="257">
        <v>18</v>
      </c>
      <c r="W786" s="257">
        <v>0</v>
      </c>
      <c r="X786" s="257">
        <v>18</v>
      </c>
      <c r="Y786" s="257">
        <v>0</v>
      </c>
      <c r="Z786" s="257">
        <f t="shared" si="1422"/>
        <v>18</v>
      </c>
    </row>
    <row r="787" spans="1:26" ht="19.5" hidden="1" customHeight="1" x14ac:dyDescent="0.2">
      <c r="A787" s="259" t="s">
        <v>99</v>
      </c>
      <c r="B787" s="252" t="s">
        <v>146</v>
      </c>
      <c r="C787" s="252" t="s">
        <v>196</v>
      </c>
      <c r="D787" s="252" t="s">
        <v>205</v>
      </c>
      <c r="E787" s="252" t="s">
        <v>819</v>
      </c>
      <c r="F787" s="252" t="s">
        <v>100</v>
      </c>
      <c r="G787" s="257"/>
      <c r="H787" s="257"/>
      <c r="I787" s="257"/>
      <c r="J787" s="257"/>
      <c r="K787" s="257"/>
      <c r="L787" s="257"/>
      <c r="M787" s="257"/>
      <c r="N787" s="257"/>
      <c r="O787" s="257"/>
      <c r="P787" s="257"/>
      <c r="Q787" s="257"/>
      <c r="R787" s="257">
        <v>0</v>
      </c>
      <c r="S787" s="257">
        <v>110</v>
      </c>
      <c r="T787" s="257">
        <v>30</v>
      </c>
      <c r="U787" s="257">
        <v>0</v>
      </c>
      <c r="V787" s="257">
        <v>30</v>
      </c>
      <c r="W787" s="257">
        <v>-30</v>
      </c>
      <c r="X787" s="257">
        <v>0</v>
      </c>
      <c r="Y787" s="257">
        <v>0</v>
      </c>
      <c r="Z787" s="257">
        <f t="shared" si="1422"/>
        <v>0</v>
      </c>
    </row>
    <row r="788" spans="1:26" ht="19.5" customHeight="1" x14ac:dyDescent="0.2">
      <c r="A788" s="259" t="s">
        <v>93</v>
      </c>
      <c r="B788" s="252" t="s">
        <v>146</v>
      </c>
      <c r="C788" s="252" t="s">
        <v>196</v>
      </c>
      <c r="D788" s="252" t="s">
        <v>205</v>
      </c>
      <c r="E788" s="252" t="s">
        <v>819</v>
      </c>
      <c r="F788" s="252" t="s">
        <v>94</v>
      </c>
      <c r="G788" s="257"/>
      <c r="H788" s="257"/>
      <c r="I788" s="257"/>
      <c r="J788" s="257"/>
      <c r="K788" s="257"/>
      <c r="L788" s="257"/>
      <c r="M788" s="257"/>
      <c r="N788" s="257"/>
      <c r="O788" s="257"/>
      <c r="P788" s="257"/>
      <c r="Q788" s="257"/>
      <c r="R788" s="257">
        <v>0</v>
      </c>
      <c r="S788" s="257">
        <v>172</v>
      </c>
      <c r="T788" s="257">
        <v>252</v>
      </c>
      <c r="U788" s="257">
        <v>-52</v>
      </c>
      <c r="V788" s="257">
        <v>252</v>
      </c>
      <c r="W788" s="257">
        <v>-22</v>
      </c>
      <c r="X788" s="257">
        <v>282</v>
      </c>
      <c r="Y788" s="257">
        <v>0</v>
      </c>
      <c r="Z788" s="257">
        <f t="shared" si="1422"/>
        <v>282</v>
      </c>
    </row>
    <row r="789" spans="1:26" ht="19.5" hidden="1" customHeight="1" x14ac:dyDescent="0.2">
      <c r="A789" s="259" t="s">
        <v>103</v>
      </c>
      <c r="B789" s="252" t="s">
        <v>146</v>
      </c>
      <c r="C789" s="252" t="s">
        <v>196</v>
      </c>
      <c r="D789" s="252" t="s">
        <v>205</v>
      </c>
      <c r="E789" s="252" t="s">
        <v>819</v>
      </c>
      <c r="F789" s="252" t="s">
        <v>104</v>
      </c>
      <c r="G789" s="257"/>
      <c r="H789" s="257"/>
      <c r="I789" s="257"/>
      <c r="J789" s="257"/>
      <c r="K789" s="257"/>
      <c r="L789" s="257"/>
      <c r="M789" s="257"/>
      <c r="N789" s="257"/>
      <c r="O789" s="257"/>
      <c r="P789" s="257"/>
      <c r="Q789" s="257"/>
      <c r="R789" s="257">
        <v>0</v>
      </c>
      <c r="S789" s="257">
        <v>0</v>
      </c>
      <c r="T789" s="257">
        <f t="shared" si="1425"/>
        <v>0</v>
      </c>
      <c r="U789" s="257">
        <v>0</v>
      </c>
      <c r="V789" s="257">
        <f t="shared" ref="V789:V792" si="1426">T789+U789</f>
        <v>0</v>
      </c>
      <c r="W789" s="257">
        <v>0</v>
      </c>
      <c r="X789" s="257">
        <v>0</v>
      </c>
      <c r="Y789" s="257">
        <v>0</v>
      </c>
      <c r="Z789" s="257">
        <f t="shared" si="1422"/>
        <v>0</v>
      </c>
    </row>
    <row r="790" spans="1:26" ht="19.5" hidden="1" customHeight="1" x14ac:dyDescent="0.2">
      <c r="A790" s="259" t="s">
        <v>920</v>
      </c>
      <c r="B790" s="252" t="s">
        <v>146</v>
      </c>
      <c r="C790" s="252" t="s">
        <v>196</v>
      </c>
      <c r="D790" s="252" t="s">
        <v>205</v>
      </c>
      <c r="E790" s="252" t="s">
        <v>819</v>
      </c>
      <c r="F790" s="252" t="s">
        <v>905</v>
      </c>
      <c r="G790" s="257"/>
      <c r="H790" s="257"/>
      <c r="I790" s="257"/>
      <c r="J790" s="257"/>
      <c r="K790" s="257"/>
      <c r="L790" s="257"/>
      <c r="M790" s="257"/>
      <c r="N790" s="257"/>
      <c r="O790" s="257"/>
      <c r="P790" s="257"/>
      <c r="Q790" s="257"/>
      <c r="R790" s="257">
        <v>0</v>
      </c>
      <c r="S790" s="257">
        <v>0</v>
      </c>
      <c r="T790" s="257">
        <f t="shared" si="1425"/>
        <v>0</v>
      </c>
      <c r="U790" s="257">
        <v>0</v>
      </c>
      <c r="V790" s="257">
        <f t="shared" si="1426"/>
        <v>0</v>
      </c>
      <c r="W790" s="257">
        <v>0</v>
      </c>
      <c r="X790" s="257">
        <v>0</v>
      </c>
      <c r="Y790" s="257">
        <v>0</v>
      </c>
      <c r="Z790" s="257">
        <f t="shared" si="1422"/>
        <v>0</v>
      </c>
    </row>
    <row r="791" spans="1:26" ht="18" customHeight="1" x14ac:dyDescent="0.2">
      <c r="A791" s="259" t="s">
        <v>521</v>
      </c>
      <c r="B791" s="252" t="s">
        <v>146</v>
      </c>
      <c r="C791" s="252" t="s">
        <v>196</v>
      </c>
      <c r="D791" s="252" t="s">
        <v>205</v>
      </c>
      <c r="E791" s="252" t="s">
        <v>821</v>
      </c>
      <c r="F791" s="252" t="s">
        <v>94</v>
      </c>
      <c r="G791" s="257"/>
      <c r="H791" s="257">
        <v>6000</v>
      </c>
      <c r="I791" s="257">
        <f>-1000-20-50-142.84</f>
        <v>-1212.8399999999999</v>
      </c>
      <c r="J791" s="257">
        <f t="shared" ref="J791" si="1427">H791+I791</f>
        <v>4787.16</v>
      </c>
      <c r="K791" s="257">
        <v>-3495.14</v>
      </c>
      <c r="L791" s="257">
        <v>2941.89</v>
      </c>
      <c r="M791" s="257">
        <v>1884.22</v>
      </c>
      <c r="N791" s="257">
        <v>-884.22</v>
      </c>
      <c r="O791" s="257">
        <f t="shared" ref="O791" si="1428">M791+N791</f>
        <v>1000</v>
      </c>
      <c r="P791" s="257">
        <v>1000</v>
      </c>
      <c r="Q791" s="257">
        <v>0</v>
      </c>
      <c r="R791" s="257">
        <f t="shared" ref="R791" si="1429">P791+Q791</f>
        <v>1000</v>
      </c>
      <c r="S791" s="257">
        <v>0</v>
      </c>
      <c r="T791" s="257">
        <f t="shared" ref="T791" si="1430">R791+S791</f>
        <v>1000</v>
      </c>
      <c r="U791" s="257">
        <v>0</v>
      </c>
      <c r="V791" s="257">
        <v>1000</v>
      </c>
      <c r="W791" s="257">
        <v>1000</v>
      </c>
      <c r="X791" s="257">
        <v>1000</v>
      </c>
      <c r="Y791" s="257">
        <v>0</v>
      </c>
      <c r="Z791" s="257">
        <f t="shared" si="1422"/>
        <v>1000</v>
      </c>
    </row>
    <row r="792" spans="1:26" ht="31.5" hidden="1" customHeight="1" x14ac:dyDescent="0.2">
      <c r="A792" s="259" t="s">
        <v>76</v>
      </c>
      <c r="B792" s="252" t="s">
        <v>146</v>
      </c>
      <c r="C792" s="252" t="s">
        <v>196</v>
      </c>
      <c r="D792" s="252" t="s">
        <v>205</v>
      </c>
      <c r="E792" s="252" t="s">
        <v>819</v>
      </c>
      <c r="F792" s="252" t="s">
        <v>77</v>
      </c>
      <c r="G792" s="257"/>
      <c r="H792" s="257">
        <v>2760</v>
      </c>
      <c r="I792" s="257">
        <v>463.46</v>
      </c>
      <c r="J792" s="257">
        <f t="shared" si="1405"/>
        <v>3223.46</v>
      </c>
      <c r="K792" s="257">
        <v>0</v>
      </c>
      <c r="L792" s="257">
        <v>3282</v>
      </c>
      <c r="M792" s="257">
        <v>3282</v>
      </c>
      <c r="N792" s="257">
        <v>368</v>
      </c>
      <c r="O792" s="257">
        <f>M792+N792</f>
        <v>3650</v>
      </c>
      <c r="P792" s="257">
        <v>3650</v>
      </c>
      <c r="Q792" s="257">
        <v>0</v>
      </c>
      <c r="R792" s="257">
        <f t="shared" si="1337"/>
        <v>3650</v>
      </c>
      <c r="S792" s="257">
        <v>-3650</v>
      </c>
      <c r="T792" s="257">
        <f t="shared" ref="T792" si="1431">R792+S792</f>
        <v>0</v>
      </c>
      <c r="U792" s="257">
        <v>0</v>
      </c>
      <c r="V792" s="257">
        <f t="shared" si="1426"/>
        <v>0</v>
      </c>
      <c r="W792" s="257">
        <v>0</v>
      </c>
      <c r="X792" s="257">
        <f t="shared" ref="X792" si="1432">V792+W792</f>
        <v>0</v>
      </c>
      <c r="Y792" s="257">
        <v>0</v>
      </c>
      <c r="Z792" s="257">
        <f t="shared" si="1422"/>
        <v>0</v>
      </c>
    </row>
    <row r="793" spans="1:26" s="430" customFormat="1" ht="14.25" x14ac:dyDescent="0.2">
      <c r="A793" s="462" t="s">
        <v>367</v>
      </c>
      <c r="B793" s="250" t="s">
        <v>146</v>
      </c>
      <c r="C793" s="250" t="s">
        <v>198</v>
      </c>
      <c r="D793" s="250"/>
      <c r="E793" s="250"/>
      <c r="F793" s="250"/>
      <c r="G793" s="275"/>
      <c r="H793" s="275">
        <f>H794+H803</f>
        <v>19347.54</v>
      </c>
      <c r="I793" s="275">
        <f>I803+I794</f>
        <v>15945.16</v>
      </c>
      <c r="J793" s="275">
        <f>J803+J794</f>
        <v>35292.699999999997</v>
      </c>
      <c r="K793" s="275">
        <f>K803+K794</f>
        <v>22489.670000000002</v>
      </c>
      <c r="L793" s="275" t="e">
        <f>L794+L803+#REF!</f>
        <v>#REF!</v>
      </c>
      <c r="M793" s="275" t="e">
        <f>M794+M803+#REF!</f>
        <v>#REF!</v>
      </c>
      <c r="N793" s="275" t="e">
        <f>N794+N803+#REF!</f>
        <v>#REF!</v>
      </c>
      <c r="O793" s="275" t="e">
        <f>O794+O803+#REF!</f>
        <v>#REF!</v>
      </c>
      <c r="P793" s="275" t="e">
        <f>P794+P803+#REF!</f>
        <v>#REF!</v>
      </c>
      <c r="Q793" s="275" t="e">
        <f>Q794+Q803+#REF!</f>
        <v>#REF!</v>
      </c>
      <c r="R793" s="275" t="e">
        <f>R794+R803+#REF!</f>
        <v>#REF!</v>
      </c>
      <c r="S793" s="275" t="e">
        <f>S794+S803+#REF!</f>
        <v>#REF!</v>
      </c>
      <c r="T793" s="275" t="e">
        <f>T794+T803+#REF!+T843</f>
        <v>#REF!</v>
      </c>
      <c r="U793" s="275" t="e">
        <f>U794+U803+#REF!+U843</f>
        <v>#REF!</v>
      </c>
      <c r="V793" s="275" t="e">
        <f>V794+V803+#REF!+V843</f>
        <v>#REF!</v>
      </c>
      <c r="W793" s="275" t="e">
        <f>W794+W803+#REF!+W843</f>
        <v>#REF!</v>
      </c>
      <c r="X793" s="275">
        <f>X794+X803</f>
        <v>30993.1</v>
      </c>
      <c r="Y793" s="275">
        <f t="shared" ref="Y793:Z793" si="1433">Y794+Y803</f>
        <v>24256.1</v>
      </c>
      <c r="Z793" s="275">
        <f t="shared" si="1433"/>
        <v>55249.2</v>
      </c>
    </row>
    <row r="794" spans="1:26" s="430" customFormat="1" ht="14.25" x14ac:dyDescent="0.2">
      <c r="A794" s="462" t="s">
        <v>222</v>
      </c>
      <c r="B794" s="250" t="s">
        <v>146</v>
      </c>
      <c r="C794" s="250" t="s">
        <v>198</v>
      </c>
      <c r="D794" s="250" t="s">
        <v>190</v>
      </c>
      <c r="E794" s="250"/>
      <c r="F794" s="250"/>
      <c r="G794" s="275">
        <v>0</v>
      </c>
      <c r="H794" s="275">
        <f>H798+H800</f>
        <v>12242.54</v>
      </c>
      <c r="I794" s="275">
        <f>I798+I800</f>
        <v>2798.58</v>
      </c>
      <c r="J794" s="275">
        <f>J798+J800</f>
        <v>15041.119999999999</v>
      </c>
      <c r="K794" s="275">
        <f>K798+K800+K795</f>
        <v>4416.32</v>
      </c>
      <c r="L794" s="275">
        <f>L798+L800+L795</f>
        <v>0</v>
      </c>
      <c r="M794" s="275">
        <f>M798+M800+M795</f>
        <v>0</v>
      </c>
      <c r="N794" s="275">
        <f t="shared" ref="N794:R794" si="1434">N798+N800+N795</f>
        <v>428.5</v>
      </c>
      <c r="O794" s="275">
        <f t="shared" si="1434"/>
        <v>428.5</v>
      </c>
      <c r="P794" s="275">
        <f t="shared" si="1434"/>
        <v>0</v>
      </c>
      <c r="Q794" s="275">
        <f t="shared" si="1434"/>
        <v>0</v>
      </c>
      <c r="R794" s="275">
        <f t="shared" si="1434"/>
        <v>0</v>
      </c>
      <c r="S794" s="275">
        <f t="shared" ref="S794:T794" si="1435">S798+S800+S795</f>
        <v>25.3</v>
      </c>
      <c r="T794" s="275">
        <f t="shared" si="1435"/>
        <v>25</v>
      </c>
      <c r="U794" s="275">
        <f t="shared" ref="U794:V794" si="1436">U798+U800+U795</f>
        <v>31373.18</v>
      </c>
      <c r="V794" s="275">
        <f t="shared" si="1436"/>
        <v>0</v>
      </c>
      <c r="W794" s="275">
        <f t="shared" ref="W794:X794" si="1437">W798+W800+W795</f>
        <v>0</v>
      </c>
      <c r="X794" s="275">
        <f t="shared" si="1437"/>
        <v>0</v>
      </c>
      <c r="Y794" s="275">
        <f t="shared" ref="Y794:Z794" si="1438">Y798+Y800+Y795</f>
        <v>9917.2999999999993</v>
      </c>
      <c r="Z794" s="275">
        <f t="shared" si="1438"/>
        <v>9917.2999999999993</v>
      </c>
    </row>
    <row r="795" spans="1:26" ht="30" x14ac:dyDescent="0.2">
      <c r="A795" s="259" t="s">
        <v>1128</v>
      </c>
      <c r="B795" s="252" t="s">
        <v>146</v>
      </c>
      <c r="C795" s="252" t="s">
        <v>198</v>
      </c>
      <c r="D795" s="252" t="s">
        <v>190</v>
      </c>
      <c r="E795" s="252" t="s">
        <v>1126</v>
      </c>
      <c r="F795" s="252"/>
      <c r="G795" s="257"/>
      <c r="H795" s="257"/>
      <c r="I795" s="257"/>
      <c r="J795" s="257"/>
      <c r="K795" s="257">
        <f>K797</f>
        <v>8101.4</v>
      </c>
      <c r="L795" s="257">
        <f>L797</f>
        <v>0</v>
      </c>
      <c r="M795" s="257">
        <f>M797</f>
        <v>0</v>
      </c>
      <c r="N795" s="257">
        <f t="shared" ref="N795:Q795" si="1439">N797</f>
        <v>0</v>
      </c>
      <c r="O795" s="257">
        <f t="shared" si="1439"/>
        <v>0</v>
      </c>
      <c r="P795" s="257">
        <f t="shared" si="1439"/>
        <v>0</v>
      </c>
      <c r="Q795" s="257">
        <f t="shared" si="1439"/>
        <v>0</v>
      </c>
      <c r="R795" s="257">
        <f>R797+R802</f>
        <v>0</v>
      </c>
      <c r="S795" s="257">
        <f t="shared" ref="S795" si="1440">S797+S802</f>
        <v>25.3</v>
      </c>
      <c r="T795" s="257">
        <f>T797+T802+T796</f>
        <v>25</v>
      </c>
      <c r="U795" s="257">
        <f t="shared" ref="U795:V795" si="1441">U797+U802+U796</f>
        <v>31373.18</v>
      </c>
      <c r="V795" s="257">
        <f t="shared" si="1441"/>
        <v>0</v>
      </c>
      <c r="W795" s="257">
        <f t="shared" ref="W795:X795" si="1442">W797+W802+W796</f>
        <v>0</v>
      </c>
      <c r="X795" s="257">
        <f t="shared" si="1442"/>
        <v>0</v>
      </c>
      <c r="Y795" s="257">
        <f t="shared" ref="Y795:Z795" si="1443">Y797+Y802+Y796</f>
        <v>9917.2999999999993</v>
      </c>
      <c r="Z795" s="257">
        <f t="shared" si="1443"/>
        <v>9917.2999999999993</v>
      </c>
    </row>
    <row r="796" spans="1:26" ht="30" x14ac:dyDescent="0.2">
      <c r="A796" s="259" t="s">
        <v>1258</v>
      </c>
      <c r="B796" s="252" t="s">
        <v>146</v>
      </c>
      <c r="C796" s="252" t="s">
        <v>198</v>
      </c>
      <c r="D796" s="252" t="s">
        <v>190</v>
      </c>
      <c r="E796" s="252" t="s">
        <v>1144</v>
      </c>
      <c r="F796" s="252" t="s">
        <v>886</v>
      </c>
      <c r="G796" s="257"/>
      <c r="H796" s="257"/>
      <c r="I796" s="257"/>
      <c r="J796" s="257"/>
      <c r="K796" s="257"/>
      <c r="L796" s="257"/>
      <c r="M796" s="257"/>
      <c r="N796" s="257"/>
      <c r="O796" s="257"/>
      <c r="P796" s="257"/>
      <c r="Q796" s="257"/>
      <c r="R796" s="257"/>
      <c r="S796" s="257"/>
      <c r="T796" s="257">
        <v>0</v>
      </c>
      <c r="U796" s="257">
        <v>24698.1</v>
      </c>
      <c r="V796" s="257">
        <v>0</v>
      </c>
      <c r="W796" s="257">
        <v>0</v>
      </c>
      <c r="X796" s="257">
        <f t="shared" ref="X796:X797" si="1444">V796+W796</f>
        <v>0</v>
      </c>
      <c r="Y796" s="257">
        <v>9917.2999999999993</v>
      </c>
      <c r="Z796" s="257">
        <f t="shared" ref="Z796:Z797" si="1445">X796+Y796</f>
        <v>9917.2999999999993</v>
      </c>
    </row>
    <row r="797" spans="1:26" ht="45" hidden="1" x14ac:dyDescent="0.2">
      <c r="A797" s="259" t="s">
        <v>1145</v>
      </c>
      <c r="B797" s="252" t="s">
        <v>146</v>
      </c>
      <c r="C797" s="252" t="s">
        <v>198</v>
      </c>
      <c r="D797" s="252" t="s">
        <v>190</v>
      </c>
      <c r="E797" s="252" t="s">
        <v>1126</v>
      </c>
      <c r="F797" s="252" t="s">
        <v>886</v>
      </c>
      <c r="G797" s="257"/>
      <c r="H797" s="257"/>
      <c r="I797" s="257"/>
      <c r="J797" s="257"/>
      <c r="K797" s="257">
        <v>8101.4</v>
      </c>
      <c r="L797" s="257">
        <v>0</v>
      </c>
      <c r="M797" s="257">
        <v>0</v>
      </c>
      <c r="N797" s="257">
        <v>0</v>
      </c>
      <c r="O797" s="257">
        <f>M797+N797</f>
        <v>0</v>
      </c>
      <c r="P797" s="257">
        <v>0</v>
      </c>
      <c r="Q797" s="257">
        <v>0</v>
      </c>
      <c r="R797" s="257">
        <f t="shared" si="1337"/>
        <v>0</v>
      </c>
      <c r="S797" s="257">
        <v>25</v>
      </c>
      <c r="T797" s="257">
        <f t="shared" ref="T797" si="1446">R797+S797</f>
        <v>25</v>
      </c>
      <c r="U797" s="257">
        <v>6361.1</v>
      </c>
      <c r="V797" s="257">
        <v>0</v>
      </c>
      <c r="W797" s="257">
        <v>0</v>
      </c>
      <c r="X797" s="257">
        <f t="shared" si="1444"/>
        <v>0</v>
      </c>
      <c r="Y797" s="257">
        <v>0</v>
      </c>
      <c r="Z797" s="257">
        <f t="shared" si="1445"/>
        <v>0</v>
      </c>
    </row>
    <row r="798" spans="1:26" s="430" customFormat="1" ht="48" hidden="1" customHeight="1" x14ac:dyDescent="0.2">
      <c r="A798" s="259" t="s">
        <v>885</v>
      </c>
      <c r="B798" s="252" t="s">
        <v>146</v>
      </c>
      <c r="C798" s="252" t="s">
        <v>198</v>
      </c>
      <c r="D798" s="252" t="s">
        <v>190</v>
      </c>
      <c r="E798" s="252" t="s">
        <v>1122</v>
      </c>
      <c r="F798" s="252"/>
      <c r="G798" s="257"/>
      <c r="H798" s="257">
        <f>H799</f>
        <v>134.54</v>
      </c>
      <c r="I798" s="257">
        <f>I799</f>
        <v>517.09</v>
      </c>
      <c r="J798" s="257">
        <f>H798+I798</f>
        <v>651.63</v>
      </c>
      <c r="K798" s="257">
        <f>K799</f>
        <v>0</v>
      </c>
      <c r="L798" s="257">
        <f>L799</f>
        <v>0</v>
      </c>
      <c r="M798" s="257">
        <f>M799</f>
        <v>0</v>
      </c>
      <c r="N798" s="257">
        <f t="shared" ref="N798:Z798" si="1447">N799</f>
        <v>428.5</v>
      </c>
      <c r="O798" s="257">
        <f t="shared" si="1447"/>
        <v>428.5</v>
      </c>
      <c r="P798" s="257">
        <f t="shared" si="1447"/>
        <v>0</v>
      </c>
      <c r="Q798" s="257">
        <f t="shared" si="1447"/>
        <v>0</v>
      </c>
      <c r="R798" s="257">
        <f t="shared" si="1447"/>
        <v>0</v>
      </c>
      <c r="S798" s="257">
        <f t="shared" si="1447"/>
        <v>0</v>
      </c>
      <c r="T798" s="257">
        <f t="shared" si="1447"/>
        <v>0</v>
      </c>
      <c r="U798" s="257">
        <f t="shared" si="1447"/>
        <v>0</v>
      </c>
      <c r="V798" s="257">
        <f t="shared" si="1447"/>
        <v>0</v>
      </c>
      <c r="W798" s="257">
        <f t="shared" si="1447"/>
        <v>0</v>
      </c>
      <c r="X798" s="257">
        <f t="shared" si="1447"/>
        <v>0</v>
      </c>
      <c r="Y798" s="257">
        <f t="shared" si="1447"/>
        <v>0</v>
      </c>
      <c r="Z798" s="257">
        <f t="shared" si="1447"/>
        <v>0</v>
      </c>
    </row>
    <row r="799" spans="1:26" s="430" customFormat="1" ht="30" hidden="1" x14ac:dyDescent="0.2">
      <c r="A799" s="259" t="s">
        <v>885</v>
      </c>
      <c r="B799" s="252" t="s">
        <v>146</v>
      </c>
      <c r="C799" s="252" t="s">
        <v>198</v>
      </c>
      <c r="D799" s="252" t="s">
        <v>190</v>
      </c>
      <c r="E799" s="252" t="s">
        <v>1123</v>
      </c>
      <c r="F799" s="252" t="s">
        <v>886</v>
      </c>
      <c r="G799" s="257"/>
      <c r="H799" s="257">
        <v>134.54</v>
      </c>
      <c r="I799" s="257">
        <v>517.09</v>
      </c>
      <c r="J799" s="257">
        <f>H799+I799</f>
        <v>651.63</v>
      </c>
      <c r="K799" s="257">
        <v>0</v>
      </c>
      <c r="L799" s="257">
        <v>0</v>
      </c>
      <c r="M799" s="257">
        <v>0</v>
      </c>
      <c r="N799" s="257">
        <v>428.5</v>
      </c>
      <c r="O799" s="257">
        <f>M799+N799</f>
        <v>428.5</v>
      </c>
      <c r="P799" s="257">
        <v>0</v>
      </c>
      <c r="Q799" s="257">
        <v>0</v>
      </c>
      <c r="R799" s="257">
        <f t="shared" si="1337"/>
        <v>0</v>
      </c>
      <c r="S799" s="257">
        <f t="shared" ref="S799" si="1448">Q799+R799</f>
        <v>0</v>
      </c>
      <c r="T799" s="257">
        <f t="shared" ref="T799" si="1449">R799+S799</f>
        <v>0</v>
      </c>
      <c r="U799" s="257">
        <f t="shared" ref="U799" si="1450">S799+T799</f>
        <v>0</v>
      </c>
      <c r="V799" s="257">
        <f t="shared" ref="V799" si="1451">T799+U799</f>
        <v>0</v>
      </c>
      <c r="W799" s="257">
        <f t="shared" ref="W799" si="1452">U799+V799</f>
        <v>0</v>
      </c>
      <c r="X799" s="257">
        <f t="shared" ref="X799" si="1453">V799+W799</f>
        <v>0</v>
      </c>
      <c r="Y799" s="257">
        <f t="shared" ref="Y799" si="1454">W799+X799</f>
        <v>0</v>
      </c>
      <c r="Z799" s="257">
        <f t="shared" ref="Z799" si="1455">X799+Y799</f>
        <v>0</v>
      </c>
    </row>
    <row r="800" spans="1:26" s="430" customFormat="1" ht="30" hidden="1" x14ac:dyDescent="0.2">
      <c r="A800" s="259" t="s">
        <v>885</v>
      </c>
      <c r="B800" s="252" t="s">
        <v>146</v>
      </c>
      <c r="C800" s="252" t="s">
        <v>198</v>
      </c>
      <c r="D800" s="252" t="s">
        <v>190</v>
      </c>
      <c r="E800" s="252" t="s">
        <v>1124</v>
      </c>
      <c r="F800" s="252"/>
      <c r="G800" s="257"/>
      <c r="H800" s="257">
        <f t="shared" ref="H800:Z800" si="1456">H801</f>
        <v>12108</v>
      </c>
      <c r="I800" s="257">
        <f t="shared" si="1456"/>
        <v>2281.4899999999998</v>
      </c>
      <c r="J800" s="257">
        <f t="shared" si="1456"/>
        <v>14389.49</v>
      </c>
      <c r="K800" s="257">
        <f t="shared" si="1456"/>
        <v>-3685.08</v>
      </c>
      <c r="L800" s="257">
        <f t="shared" si="1456"/>
        <v>0</v>
      </c>
      <c r="M800" s="257">
        <f t="shared" si="1456"/>
        <v>0</v>
      </c>
      <c r="N800" s="257">
        <f t="shared" si="1456"/>
        <v>0</v>
      </c>
      <c r="O800" s="257">
        <f t="shared" si="1456"/>
        <v>0</v>
      </c>
      <c r="P800" s="257">
        <f t="shared" si="1456"/>
        <v>0</v>
      </c>
      <c r="Q800" s="257">
        <f t="shared" si="1456"/>
        <v>0</v>
      </c>
      <c r="R800" s="257">
        <f t="shared" si="1456"/>
        <v>0</v>
      </c>
      <c r="S800" s="257">
        <f t="shared" si="1456"/>
        <v>0</v>
      </c>
      <c r="T800" s="257">
        <f t="shared" si="1456"/>
        <v>0</v>
      </c>
      <c r="U800" s="257">
        <f t="shared" si="1456"/>
        <v>0</v>
      </c>
      <c r="V800" s="257">
        <f t="shared" si="1456"/>
        <v>0</v>
      </c>
      <c r="W800" s="257">
        <f t="shared" si="1456"/>
        <v>0</v>
      </c>
      <c r="X800" s="257">
        <f t="shared" si="1456"/>
        <v>0</v>
      </c>
      <c r="Y800" s="257">
        <f t="shared" si="1456"/>
        <v>0</v>
      </c>
      <c r="Z800" s="257">
        <f t="shared" si="1456"/>
        <v>0</v>
      </c>
    </row>
    <row r="801" spans="1:26" s="430" customFormat="1" ht="30" hidden="1" x14ac:dyDescent="0.2">
      <c r="A801" s="259" t="s">
        <v>885</v>
      </c>
      <c r="B801" s="252" t="s">
        <v>146</v>
      </c>
      <c r="C801" s="252" t="s">
        <v>198</v>
      </c>
      <c r="D801" s="252" t="s">
        <v>190</v>
      </c>
      <c r="E801" s="252" t="s">
        <v>1125</v>
      </c>
      <c r="F801" s="252" t="s">
        <v>886</v>
      </c>
      <c r="G801" s="257"/>
      <c r="H801" s="257">
        <v>12108</v>
      </c>
      <c r="I801" s="257">
        <v>2281.4899999999998</v>
      </c>
      <c r="J801" s="257">
        <f>H801+I801</f>
        <v>14389.49</v>
      </c>
      <c r="K801" s="257">
        <v>-3685.08</v>
      </c>
      <c r="L801" s="257">
        <v>0</v>
      </c>
      <c r="M801" s="257">
        <v>0</v>
      </c>
      <c r="N801" s="257">
        <v>0</v>
      </c>
      <c r="O801" s="257">
        <f>M801+N801</f>
        <v>0</v>
      </c>
      <c r="P801" s="257">
        <v>0</v>
      </c>
      <c r="Q801" s="257">
        <v>0</v>
      </c>
      <c r="R801" s="257">
        <f t="shared" si="1337"/>
        <v>0</v>
      </c>
      <c r="S801" s="257">
        <f t="shared" ref="S801" si="1457">Q801+R801</f>
        <v>0</v>
      </c>
      <c r="T801" s="257">
        <f t="shared" ref="T801" si="1458">R801+S801</f>
        <v>0</v>
      </c>
      <c r="U801" s="257">
        <f t="shared" ref="U801" si="1459">S801+T801</f>
        <v>0</v>
      </c>
      <c r="V801" s="257">
        <f t="shared" ref="V801" si="1460">T801+U801</f>
        <v>0</v>
      </c>
      <c r="W801" s="257">
        <f t="shared" ref="W801" si="1461">U801+V801</f>
        <v>0</v>
      </c>
      <c r="X801" s="257">
        <f t="shared" ref="X801" si="1462">V801+W801</f>
        <v>0</v>
      </c>
      <c r="Y801" s="257">
        <f t="shared" ref="Y801" si="1463">W801+X801</f>
        <v>0</v>
      </c>
      <c r="Z801" s="257">
        <f t="shared" ref="Z801" si="1464">X801+Y801</f>
        <v>0</v>
      </c>
    </row>
    <row r="802" spans="1:26" s="430" customFormat="1" ht="30" hidden="1" x14ac:dyDescent="0.2">
      <c r="A802" s="259" t="s">
        <v>1129</v>
      </c>
      <c r="B802" s="252" t="s">
        <v>146</v>
      </c>
      <c r="C802" s="252" t="s">
        <v>198</v>
      </c>
      <c r="D802" s="252" t="s">
        <v>190</v>
      </c>
      <c r="E802" s="252" t="s">
        <v>1127</v>
      </c>
      <c r="F802" s="252" t="s">
        <v>886</v>
      </c>
      <c r="G802" s="257"/>
      <c r="H802" s="257"/>
      <c r="I802" s="257"/>
      <c r="J802" s="257"/>
      <c r="K802" s="257"/>
      <c r="L802" s="257"/>
      <c r="M802" s="257"/>
      <c r="N802" s="257"/>
      <c r="O802" s="257"/>
      <c r="P802" s="257"/>
      <c r="Q802" s="257"/>
      <c r="R802" s="257"/>
      <c r="S802" s="257">
        <v>0.3</v>
      </c>
      <c r="T802" s="257">
        <v>0</v>
      </c>
      <c r="U802" s="257">
        <v>313.98</v>
      </c>
      <c r="V802" s="257">
        <v>0</v>
      </c>
      <c r="W802" s="257">
        <v>0</v>
      </c>
      <c r="X802" s="257">
        <f>V802+W802</f>
        <v>0</v>
      </c>
      <c r="Y802" s="257">
        <v>0</v>
      </c>
      <c r="Z802" s="257">
        <f>X802+Y802</f>
        <v>0</v>
      </c>
    </row>
    <row r="803" spans="1:26" x14ac:dyDescent="0.2">
      <c r="A803" s="462" t="s">
        <v>223</v>
      </c>
      <c r="B803" s="250" t="s">
        <v>146</v>
      </c>
      <c r="C803" s="250" t="s">
        <v>198</v>
      </c>
      <c r="D803" s="250" t="s">
        <v>192</v>
      </c>
      <c r="E803" s="250"/>
      <c r="F803" s="250"/>
      <c r="G803" s="257" t="e">
        <f>#REF!+#REF!+G804+G822</f>
        <v>#REF!</v>
      </c>
      <c r="H803" s="275">
        <f t="shared" ref="H803:Y803" si="1465">H804</f>
        <v>7105</v>
      </c>
      <c r="I803" s="275">
        <f t="shared" si="1465"/>
        <v>13146.58</v>
      </c>
      <c r="J803" s="275">
        <f t="shared" si="1465"/>
        <v>20251.580000000002</v>
      </c>
      <c r="K803" s="275">
        <f t="shared" si="1465"/>
        <v>18073.350000000002</v>
      </c>
      <c r="L803" s="275">
        <f t="shared" si="1465"/>
        <v>2200</v>
      </c>
      <c r="M803" s="275">
        <f t="shared" si="1465"/>
        <v>2200</v>
      </c>
      <c r="N803" s="275">
        <f t="shared" si="1465"/>
        <v>-555.40000000000009</v>
      </c>
      <c r="O803" s="275">
        <f t="shared" si="1465"/>
        <v>1644.6</v>
      </c>
      <c r="P803" s="275">
        <f t="shared" si="1465"/>
        <v>1644.6</v>
      </c>
      <c r="Q803" s="275">
        <f t="shared" si="1465"/>
        <v>13371.9</v>
      </c>
      <c r="R803" s="275">
        <f t="shared" si="1465"/>
        <v>15016.5</v>
      </c>
      <c r="S803" s="275">
        <f t="shared" si="1465"/>
        <v>70200.950000000012</v>
      </c>
      <c r="T803" s="275">
        <f>T804</f>
        <v>52580.35</v>
      </c>
      <c r="U803" s="275">
        <f t="shared" si="1465"/>
        <v>-27098.199999999997</v>
      </c>
      <c r="V803" s="275" t="e">
        <f>V804</f>
        <v>#REF!</v>
      </c>
      <c r="W803" s="275" t="e">
        <f t="shared" si="1465"/>
        <v>#REF!</v>
      </c>
      <c r="X803" s="275">
        <f>X804</f>
        <v>30993.1</v>
      </c>
      <c r="Y803" s="275">
        <f t="shared" si="1465"/>
        <v>14338.8</v>
      </c>
      <c r="Z803" s="275">
        <f>Z804</f>
        <v>45331.899999999994</v>
      </c>
    </row>
    <row r="804" spans="1:26" ht="38.25" customHeight="1" x14ac:dyDescent="0.2">
      <c r="A804" s="259" t="s">
        <v>984</v>
      </c>
      <c r="B804" s="252" t="s">
        <v>146</v>
      </c>
      <c r="C804" s="252" t="s">
        <v>198</v>
      </c>
      <c r="D804" s="252" t="s">
        <v>192</v>
      </c>
      <c r="E804" s="252" t="s">
        <v>816</v>
      </c>
      <c r="F804" s="250"/>
      <c r="G804" s="257">
        <f>G805+G809+G812</f>
        <v>0</v>
      </c>
      <c r="H804" s="257">
        <f>H805+H809+H824</f>
        <v>7105</v>
      </c>
      <c r="I804" s="257">
        <f>I805+I809+I824</f>
        <v>13146.58</v>
      </c>
      <c r="J804" s="257">
        <f>J805+J809+J824</f>
        <v>20251.580000000002</v>
      </c>
      <c r="K804" s="257">
        <f>K805+K809+K824+K807</f>
        <v>18073.350000000002</v>
      </c>
      <c r="L804" s="257">
        <f>L805+L809</f>
        <v>2200</v>
      </c>
      <c r="M804" s="257">
        <f>M805+M815+M825</f>
        <v>2200</v>
      </c>
      <c r="N804" s="257">
        <f t="shared" ref="N804:Q804" si="1466">N805+N815+N825</f>
        <v>-555.40000000000009</v>
      </c>
      <c r="O804" s="257">
        <f t="shared" si="1466"/>
        <v>1644.6</v>
      </c>
      <c r="P804" s="257">
        <f t="shared" si="1466"/>
        <v>1644.6</v>
      </c>
      <c r="Q804" s="257">
        <f t="shared" si="1466"/>
        <v>13371.9</v>
      </c>
      <c r="R804" s="257">
        <f>R805+R809+R825+R828+R831+R837+R840</f>
        <v>15016.5</v>
      </c>
      <c r="S804" s="257">
        <f>S805+S809+S825+S828+S831+S837+S840</f>
        <v>70200.950000000012</v>
      </c>
      <c r="T804" s="257">
        <f>T805+T809+T825+T828+T831+T837+T840</f>
        <v>52580.35</v>
      </c>
      <c r="U804" s="257">
        <f>U805+U809+U825+U828+U831+U837+U840</f>
        <v>-27098.199999999997</v>
      </c>
      <c r="V804" s="257" t="e">
        <f>V805+V809+V825+V828+V831+V837+V840+V835</f>
        <v>#REF!</v>
      </c>
      <c r="W804" s="257" t="e">
        <f>W805+W809+W825+W828+W831+W837+W840+W835</f>
        <v>#REF!</v>
      </c>
      <c r="X804" s="257">
        <f>X805+X809+X825+X828+X831+X837+X840+X835</f>
        <v>30993.1</v>
      </c>
      <c r="Y804" s="257">
        <f>Y805+Y809+Y825+Y828+Y831+Y837+Y840+Y835</f>
        <v>14338.8</v>
      </c>
      <c r="Z804" s="257">
        <f>Z805+Z809+Z825+Z828+Z831+Z837+Z840+Z835</f>
        <v>45331.899999999994</v>
      </c>
    </row>
    <row r="805" spans="1:26" ht="18" customHeight="1" x14ac:dyDescent="0.2">
      <c r="A805" s="259" t="s">
        <v>522</v>
      </c>
      <c r="B805" s="252" t="s">
        <v>146</v>
      </c>
      <c r="C805" s="252" t="s">
        <v>198</v>
      </c>
      <c r="D805" s="252" t="s">
        <v>192</v>
      </c>
      <c r="E805" s="252" t="s">
        <v>815</v>
      </c>
      <c r="F805" s="252"/>
      <c r="G805" s="257">
        <f>G806+G808</f>
        <v>0</v>
      </c>
      <c r="H805" s="257">
        <f>H806+H808</f>
        <v>994.4</v>
      </c>
      <c r="I805" s="257">
        <f>I806+I808</f>
        <v>0</v>
      </c>
      <c r="J805" s="257">
        <f>H805+I805</f>
        <v>994.4</v>
      </c>
      <c r="K805" s="257">
        <f>K806+K808</f>
        <v>0</v>
      </c>
      <c r="L805" s="257">
        <f>L806+L807+L808</f>
        <v>200</v>
      </c>
      <c r="M805" s="257">
        <f>M806</f>
        <v>200</v>
      </c>
      <c r="N805" s="257">
        <f t="shared" ref="N805:Z805" si="1467">N806</f>
        <v>0</v>
      </c>
      <c r="O805" s="257">
        <f t="shared" si="1467"/>
        <v>200</v>
      </c>
      <c r="P805" s="257">
        <f t="shared" si="1467"/>
        <v>200</v>
      </c>
      <c r="Q805" s="257">
        <f t="shared" si="1467"/>
        <v>0</v>
      </c>
      <c r="R805" s="257">
        <f t="shared" si="1467"/>
        <v>200</v>
      </c>
      <c r="S805" s="257">
        <f t="shared" si="1467"/>
        <v>-100</v>
      </c>
      <c r="T805" s="257">
        <f t="shared" si="1467"/>
        <v>200</v>
      </c>
      <c r="U805" s="257">
        <f t="shared" si="1467"/>
        <v>0</v>
      </c>
      <c r="V805" s="257">
        <f t="shared" si="1467"/>
        <v>200</v>
      </c>
      <c r="W805" s="257">
        <f t="shared" si="1467"/>
        <v>-100</v>
      </c>
      <c r="X805" s="257">
        <f>X806</f>
        <v>100</v>
      </c>
      <c r="Y805" s="257">
        <f t="shared" si="1467"/>
        <v>0</v>
      </c>
      <c r="Z805" s="257">
        <f t="shared" si="1467"/>
        <v>100</v>
      </c>
    </row>
    <row r="806" spans="1:26" ht="18" customHeight="1" x14ac:dyDescent="0.2">
      <c r="A806" s="259" t="s">
        <v>93</v>
      </c>
      <c r="B806" s="252" t="s">
        <v>146</v>
      </c>
      <c r="C806" s="252" t="s">
        <v>198</v>
      </c>
      <c r="D806" s="252" t="s">
        <v>192</v>
      </c>
      <c r="E806" s="252" t="s">
        <v>815</v>
      </c>
      <c r="F806" s="252" t="s">
        <v>94</v>
      </c>
      <c r="G806" s="257"/>
      <c r="H806" s="257">
        <v>354.4</v>
      </c>
      <c r="I806" s="257">
        <v>0</v>
      </c>
      <c r="J806" s="257">
        <f>H806+I806</f>
        <v>354.4</v>
      </c>
      <c r="K806" s="257">
        <v>0</v>
      </c>
      <c r="L806" s="257">
        <v>200</v>
      </c>
      <c r="M806" s="257">
        <v>200</v>
      </c>
      <c r="N806" s="257">
        <v>0</v>
      </c>
      <c r="O806" s="257">
        <f>M806+N806</f>
        <v>200</v>
      </c>
      <c r="P806" s="257">
        <v>200</v>
      </c>
      <c r="Q806" s="257">
        <v>0</v>
      </c>
      <c r="R806" s="257">
        <f t="shared" si="1337"/>
        <v>200</v>
      </c>
      <c r="S806" s="257">
        <v>-100</v>
      </c>
      <c r="T806" s="257">
        <v>200</v>
      </c>
      <c r="U806" s="257">
        <v>0</v>
      </c>
      <c r="V806" s="257">
        <v>200</v>
      </c>
      <c r="W806" s="257">
        <v>-100</v>
      </c>
      <c r="X806" s="257">
        <f t="shared" ref="X806:X808" si="1468">V806+W806</f>
        <v>100</v>
      </c>
      <c r="Y806" s="257">
        <v>0</v>
      </c>
      <c r="Z806" s="257">
        <f t="shared" ref="Z806:Z808" si="1469">X806+Y806</f>
        <v>100</v>
      </c>
    </row>
    <row r="807" spans="1:26" ht="18" hidden="1" customHeight="1" x14ac:dyDescent="0.2">
      <c r="A807" s="259" t="s">
        <v>857</v>
      </c>
      <c r="B807" s="252" t="s">
        <v>146</v>
      </c>
      <c r="C807" s="252" t="s">
        <v>198</v>
      </c>
      <c r="D807" s="252" t="s">
        <v>192</v>
      </c>
      <c r="E807" s="252" t="s">
        <v>925</v>
      </c>
      <c r="F807" s="252" t="s">
        <v>94</v>
      </c>
      <c r="G807" s="257"/>
      <c r="H807" s="257"/>
      <c r="I807" s="257"/>
      <c r="J807" s="257"/>
      <c r="K807" s="257">
        <v>2377.9</v>
      </c>
      <c r="L807" s="257">
        <v>0</v>
      </c>
      <c r="M807" s="257">
        <v>0</v>
      </c>
      <c r="N807" s="257">
        <v>0</v>
      </c>
      <c r="O807" s="257">
        <f t="shared" ref="O807:O825" si="1470">M807+N807</f>
        <v>0</v>
      </c>
      <c r="P807" s="257">
        <v>0</v>
      </c>
      <c r="Q807" s="257">
        <v>0</v>
      </c>
      <c r="R807" s="257">
        <f t="shared" si="1337"/>
        <v>0</v>
      </c>
      <c r="S807" s="257">
        <f t="shared" ref="S807:S824" si="1471">Q807+R807</f>
        <v>0</v>
      </c>
      <c r="T807" s="257">
        <f t="shared" ref="T807:T824" si="1472">R807+S807</f>
        <v>0</v>
      </c>
      <c r="U807" s="257">
        <f t="shared" ref="U807:U808" si="1473">S807+T807</f>
        <v>0</v>
      </c>
      <c r="V807" s="257">
        <f t="shared" ref="V807:V808" si="1474">T807+U807</f>
        <v>0</v>
      </c>
      <c r="W807" s="257">
        <f t="shared" ref="W807:W808" si="1475">U807+V807</f>
        <v>0</v>
      </c>
      <c r="X807" s="257">
        <f t="shared" si="1468"/>
        <v>0</v>
      </c>
      <c r="Y807" s="257">
        <f t="shared" ref="Y807:Y808" si="1476">W807+X807</f>
        <v>0</v>
      </c>
      <c r="Z807" s="257">
        <f t="shared" si="1469"/>
        <v>0</v>
      </c>
    </row>
    <row r="808" spans="1:26" ht="31.5" hidden="1" customHeight="1" x14ac:dyDescent="0.2">
      <c r="A808" s="259" t="s">
        <v>857</v>
      </c>
      <c r="B808" s="252" t="s">
        <v>146</v>
      </c>
      <c r="C808" s="252" t="s">
        <v>198</v>
      </c>
      <c r="D808" s="252" t="s">
        <v>192</v>
      </c>
      <c r="E808" s="252" t="s">
        <v>858</v>
      </c>
      <c r="F808" s="252" t="s">
        <v>94</v>
      </c>
      <c r="G808" s="257"/>
      <c r="H808" s="257">
        <v>640</v>
      </c>
      <c r="I808" s="257">
        <v>0</v>
      </c>
      <c r="J808" s="257">
        <f>H808+I808</f>
        <v>640</v>
      </c>
      <c r="K808" s="257">
        <v>0</v>
      </c>
      <c r="L808" s="257">
        <v>0</v>
      </c>
      <c r="M808" s="257">
        <v>0</v>
      </c>
      <c r="N808" s="257">
        <v>0</v>
      </c>
      <c r="O808" s="257">
        <f t="shared" si="1470"/>
        <v>0</v>
      </c>
      <c r="P808" s="257">
        <v>0</v>
      </c>
      <c r="Q808" s="257">
        <v>0</v>
      </c>
      <c r="R808" s="257">
        <f t="shared" si="1337"/>
        <v>0</v>
      </c>
      <c r="S808" s="257">
        <f t="shared" si="1471"/>
        <v>0</v>
      </c>
      <c r="T808" s="257">
        <f t="shared" si="1472"/>
        <v>0</v>
      </c>
      <c r="U808" s="257">
        <f t="shared" si="1473"/>
        <v>0</v>
      </c>
      <c r="V808" s="257">
        <f t="shared" si="1474"/>
        <v>0</v>
      </c>
      <c r="W808" s="257">
        <f t="shared" si="1475"/>
        <v>0</v>
      </c>
      <c r="X808" s="257">
        <f t="shared" si="1468"/>
        <v>0</v>
      </c>
      <c r="Y808" s="257">
        <f t="shared" si="1476"/>
        <v>0</v>
      </c>
      <c r="Z808" s="257">
        <f t="shared" si="1469"/>
        <v>0</v>
      </c>
    </row>
    <row r="809" spans="1:26" ht="20.25" customHeight="1" x14ac:dyDescent="0.2">
      <c r="A809" s="259" t="s">
        <v>523</v>
      </c>
      <c r="B809" s="252" t="s">
        <v>146</v>
      </c>
      <c r="C809" s="252" t="s">
        <v>198</v>
      </c>
      <c r="D809" s="252" t="s">
        <v>192</v>
      </c>
      <c r="E809" s="252" t="s">
        <v>814</v>
      </c>
      <c r="F809" s="252"/>
      <c r="G809" s="257"/>
      <c r="H809" s="257">
        <f>H810+H812+H814+H820+H821+H813</f>
        <v>6110.6</v>
      </c>
      <c r="I809" s="257">
        <f>I810+I812+I814+I820+I821+I813</f>
        <v>12146.58</v>
      </c>
      <c r="J809" s="257">
        <f>H809+I809</f>
        <v>18257.18</v>
      </c>
      <c r="K809" s="257">
        <f>K810+K812+K814+K820+K821+K813+K811+K815+K816+K817+K818+K819</f>
        <v>15695.45</v>
      </c>
      <c r="L809" s="257">
        <f>L814+L815+L818</f>
        <v>2000</v>
      </c>
      <c r="M809" s="257">
        <f>M814+M815+M818</f>
        <v>2000</v>
      </c>
      <c r="N809" s="257">
        <f t="shared" ref="N809:Q809" si="1477">N814+N815+N818</f>
        <v>-2000</v>
      </c>
      <c r="O809" s="257">
        <f t="shared" si="1470"/>
        <v>0</v>
      </c>
      <c r="P809" s="257">
        <f t="shared" si="1477"/>
        <v>0</v>
      </c>
      <c r="Q809" s="257">
        <f t="shared" si="1477"/>
        <v>0</v>
      </c>
      <c r="R809" s="257">
        <f>R810+R812</f>
        <v>0</v>
      </c>
      <c r="S809" s="257">
        <f t="shared" ref="S809:T809" si="1478">S810+S812</f>
        <v>1100</v>
      </c>
      <c r="T809" s="257">
        <f t="shared" si="1478"/>
        <v>1800</v>
      </c>
      <c r="U809" s="257">
        <f t="shared" ref="U809:V809" si="1479">U810+U812</f>
        <v>0</v>
      </c>
      <c r="V809" s="257">
        <f t="shared" si="1479"/>
        <v>1800</v>
      </c>
      <c r="W809" s="257">
        <f t="shared" ref="W809" si="1480">W810+W812</f>
        <v>1000</v>
      </c>
      <c r="X809" s="257">
        <f>X810+X812+X813</f>
        <v>1800</v>
      </c>
      <c r="Y809" s="257">
        <f t="shared" ref="Y809:Z809" si="1481">Y810+Y812+Y813</f>
        <v>600</v>
      </c>
      <c r="Z809" s="257">
        <f t="shared" si="1481"/>
        <v>2400</v>
      </c>
    </row>
    <row r="810" spans="1:26" ht="17.25" customHeight="1" x14ac:dyDescent="0.2">
      <c r="A810" s="259" t="s">
        <v>93</v>
      </c>
      <c r="B810" s="252" t="s">
        <v>146</v>
      </c>
      <c r="C810" s="252" t="s">
        <v>198</v>
      </c>
      <c r="D810" s="252" t="s">
        <v>192</v>
      </c>
      <c r="E810" s="252" t="s">
        <v>859</v>
      </c>
      <c r="F810" s="252" t="s">
        <v>94</v>
      </c>
      <c r="G810" s="257"/>
      <c r="H810" s="257">
        <v>800</v>
      </c>
      <c r="I810" s="257">
        <v>0</v>
      </c>
      <c r="J810" s="257">
        <f>H810+I810</f>
        <v>800</v>
      </c>
      <c r="K810" s="257">
        <v>-716.25</v>
      </c>
      <c r="L810" s="257">
        <v>0</v>
      </c>
      <c r="M810" s="257">
        <v>0</v>
      </c>
      <c r="N810" s="257">
        <v>0</v>
      </c>
      <c r="O810" s="257">
        <f t="shared" si="1470"/>
        <v>0</v>
      </c>
      <c r="P810" s="257">
        <v>0</v>
      </c>
      <c r="Q810" s="257">
        <v>0</v>
      </c>
      <c r="R810" s="257">
        <f t="shared" si="1337"/>
        <v>0</v>
      </c>
      <c r="S810" s="257">
        <v>600</v>
      </c>
      <c r="T810" s="257">
        <v>800</v>
      </c>
      <c r="U810" s="257">
        <v>0</v>
      </c>
      <c r="V810" s="257">
        <v>800</v>
      </c>
      <c r="W810" s="257">
        <f>200+500</f>
        <v>700</v>
      </c>
      <c r="X810" s="257">
        <v>800</v>
      </c>
      <c r="Y810" s="257">
        <v>0</v>
      </c>
      <c r="Z810" s="257">
        <f t="shared" ref="Z810:Z824" si="1482">X810+Y810</f>
        <v>800</v>
      </c>
    </row>
    <row r="811" spans="1:26" ht="17.25" hidden="1" customHeight="1" x14ac:dyDescent="0.2">
      <c r="A811" s="259" t="s">
        <v>93</v>
      </c>
      <c r="B811" s="252" t="s">
        <v>146</v>
      </c>
      <c r="C811" s="252" t="s">
        <v>198</v>
      </c>
      <c r="D811" s="252" t="s">
        <v>192</v>
      </c>
      <c r="E811" s="252" t="s">
        <v>859</v>
      </c>
      <c r="F811" s="252" t="s">
        <v>0</v>
      </c>
      <c r="G811" s="257"/>
      <c r="H811" s="257"/>
      <c r="I811" s="257"/>
      <c r="J811" s="257"/>
      <c r="K811" s="257">
        <v>110</v>
      </c>
      <c r="L811" s="257">
        <v>0</v>
      </c>
      <c r="M811" s="257">
        <v>0</v>
      </c>
      <c r="N811" s="257">
        <v>0</v>
      </c>
      <c r="O811" s="257">
        <f t="shared" si="1470"/>
        <v>0</v>
      </c>
      <c r="P811" s="257">
        <v>0</v>
      </c>
      <c r="Q811" s="257">
        <v>0</v>
      </c>
      <c r="R811" s="257">
        <f t="shared" si="1337"/>
        <v>0</v>
      </c>
      <c r="S811" s="257">
        <f t="shared" si="1471"/>
        <v>0</v>
      </c>
      <c r="T811" s="257">
        <f t="shared" si="1472"/>
        <v>0</v>
      </c>
      <c r="U811" s="257">
        <f t="shared" ref="U811" si="1483">S811+T811</f>
        <v>0</v>
      </c>
      <c r="V811" s="257">
        <f t="shared" ref="V811:V824" si="1484">T811+U811</f>
        <v>0</v>
      </c>
      <c r="W811" s="257">
        <f t="shared" ref="W811" si="1485">U811+V811</f>
        <v>0</v>
      </c>
      <c r="X811" s="257">
        <v>0</v>
      </c>
      <c r="Y811" s="257">
        <f t="shared" ref="Y811" si="1486">W811+X811</f>
        <v>0</v>
      </c>
      <c r="Z811" s="257">
        <f t="shared" si="1482"/>
        <v>0</v>
      </c>
    </row>
    <row r="812" spans="1:26" ht="15.75" customHeight="1" x14ac:dyDescent="0.2">
      <c r="A812" s="259" t="s">
        <v>93</v>
      </c>
      <c r="B812" s="252" t="s">
        <v>146</v>
      </c>
      <c r="C812" s="252" t="s">
        <v>198</v>
      </c>
      <c r="D812" s="252" t="s">
        <v>192</v>
      </c>
      <c r="E812" s="252" t="s">
        <v>860</v>
      </c>
      <c r="F812" s="252" t="s">
        <v>94</v>
      </c>
      <c r="G812" s="257"/>
      <c r="H812" s="257">
        <v>1000</v>
      </c>
      <c r="I812" s="257">
        <v>0</v>
      </c>
      <c r="J812" s="257">
        <f t="shared" ref="J812:J847" si="1487">H812+I812</f>
        <v>1000</v>
      </c>
      <c r="K812" s="257">
        <v>0</v>
      </c>
      <c r="L812" s="257">
        <v>0</v>
      </c>
      <c r="M812" s="257">
        <v>0</v>
      </c>
      <c r="N812" s="257">
        <v>0</v>
      </c>
      <c r="O812" s="257">
        <f t="shared" si="1470"/>
        <v>0</v>
      </c>
      <c r="P812" s="257">
        <v>0</v>
      </c>
      <c r="Q812" s="257">
        <v>0</v>
      </c>
      <c r="R812" s="257">
        <f t="shared" si="1337"/>
        <v>0</v>
      </c>
      <c r="S812" s="257">
        <v>500</v>
      </c>
      <c r="T812" s="257">
        <v>1000</v>
      </c>
      <c r="U812" s="257">
        <v>0</v>
      </c>
      <c r="V812" s="257">
        <v>1000</v>
      </c>
      <c r="W812" s="257">
        <f>-200+500</f>
        <v>300</v>
      </c>
      <c r="X812" s="257">
        <v>1000</v>
      </c>
      <c r="Y812" s="257">
        <v>0</v>
      </c>
      <c r="Z812" s="257">
        <f t="shared" si="1482"/>
        <v>1000</v>
      </c>
    </row>
    <row r="813" spans="1:26" ht="17.25" customHeight="1" x14ac:dyDescent="0.2">
      <c r="A813" s="259" t="s">
        <v>1167</v>
      </c>
      <c r="B813" s="252" t="s">
        <v>146</v>
      </c>
      <c r="C813" s="252" t="s">
        <v>198</v>
      </c>
      <c r="D813" s="252" t="s">
        <v>192</v>
      </c>
      <c r="E813" s="252" t="s">
        <v>860</v>
      </c>
      <c r="F813" s="252" t="s">
        <v>1166</v>
      </c>
      <c r="G813" s="257"/>
      <c r="H813" s="257"/>
      <c r="I813" s="257">
        <f>50+276.58+220</f>
        <v>546.57999999999993</v>
      </c>
      <c r="J813" s="257">
        <f>H813+I813</f>
        <v>546.57999999999993</v>
      </c>
      <c r="K813" s="257">
        <v>0</v>
      </c>
      <c r="L813" s="257">
        <v>0</v>
      </c>
      <c r="M813" s="257">
        <v>0</v>
      </c>
      <c r="N813" s="257">
        <v>0</v>
      </c>
      <c r="O813" s="257">
        <f t="shared" si="1470"/>
        <v>0</v>
      </c>
      <c r="P813" s="257">
        <v>0</v>
      </c>
      <c r="Q813" s="257">
        <v>0</v>
      </c>
      <c r="R813" s="257">
        <f t="shared" si="1337"/>
        <v>0</v>
      </c>
      <c r="S813" s="257">
        <f t="shared" si="1471"/>
        <v>0</v>
      </c>
      <c r="T813" s="257">
        <f t="shared" si="1472"/>
        <v>0</v>
      </c>
      <c r="U813" s="257">
        <f t="shared" ref="U813:U824" si="1488">S813+T813</f>
        <v>0</v>
      </c>
      <c r="V813" s="257">
        <f t="shared" si="1484"/>
        <v>0</v>
      </c>
      <c r="W813" s="257">
        <f t="shared" ref="W813:W824" si="1489">U813+V813</f>
        <v>0</v>
      </c>
      <c r="X813" s="257">
        <f t="shared" ref="X813:X823" si="1490">V813+W813</f>
        <v>0</v>
      </c>
      <c r="Y813" s="257">
        <v>600</v>
      </c>
      <c r="Z813" s="257">
        <f t="shared" si="1482"/>
        <v>600</v>
      </c>
    </row>
    <row r="814" spans="1:26" ht="17.25" hidden="1" customHeight="1" x14ac:dyDescent="0.2">
      <c r="A814" s="259" t="s">
        <v>340</v>
      </c>
      <c r="B814" s="252" t="s">
        <v>146</v>
      </c>
      <c r="C814" s="252" t="s">
        <v>198</v>
      </c>
      <c r="D814" s="252" t="s">
        <v>192</v>
      </c>
      <c r="E814" s="252" t="s">
        <v>814</v>
      </c>
      <c r="F814" s="252" t="s">
        <v>0</v>
      </c>
      <c r="G814" s="257"/>
      <c r="H814" s="257">
        <v>2000</v>
      </c>
      <c r="I814" s="257">
        <f>4000+3000+1000+1100+2500</f>
        <v>11600</v>
      </c>
      <c r="J814" s="257">
        <f t="shared" si="1487"/>
        <v>13600</v>
      </c>
      <c r="K814" s="257">
        <v>1900</v>
      </c>
      <c r="L814" s="257">
        <v>0</v>
      </c>
      <c r="M814" s="257">
        <v>0</v>
      </c>
      <c r="N814" s="257">
        <v>0</v>
      </c>
      <c r="O814" s="257">
        <f t="shared" si="1470"/>
        <v>0</v>
      </c>
      <c r="P814" s="257">
        <v>0</v>
      </c>
      <c r="Q814" s="257">
        <v>0</v>
      </c>
      <c r="R814" s="257">
        <f t="shared" si="1337"/>
        <v>0</v>
      </c>
      <c r="S814" s="257">
        <f t="shared" si="1471"/>
        <v>0</v>
      </c>
      <c r="T814" s="257">
        <f t="shared" si="1472"/>
        <v>0</v>
      </c>
      <c r="U814" s="257">
        <f t="shared" si="1488"/>
        <v>0</v>
      </c>
      <c r="V814" s="257">
        <f t="shared" si="1484"/>
        <v>0</v>
      </c>
      <c r="W814" s="257">
        <f t="shared" si="1489"/>
        <v>0</v>
      </c>
      <c r="X814" s="257">
        <f t="shared" si="1490"/>
        <v>0</v>
      </c>
      <c r="Y814" s="257">
        <f t="shared" ref="Y814:Y824" si="1491">W814+X814</f>
        <v>0</v>
      </c>
      <c r="Z814" s="257">
        <f t="shared" si="1482"/>
        <v>0</v>
      </c>
    </row>
    <row r="815" spans="1:26" ht="42.75" hidden="1" customHeight="1" x14ac:dyDescent="0.2">
      <c r="A815" s="259" t="s">
        <v>937</v>
      </c>
      <c r="B815" s="252" t="s">
        <v>146</v>
      </c>
      <c r="C815" s="252" t="s">
        <v>198</v>
      </c>
      <c r="D815" s="252" t="s">
        <v>192</v>
      </c>
      <c r="E815" s="252" t="s">
        <v>927</v>
      </c>
      <c r="F815" s="252" t="s">
        <v>57</v>
      </c>
      <c r="G815" s="257"/>
      <c r="H815" s="257">
        <v>2000</v>
      </c>
      <c r="I815" s="257">
        <f>4000+3000+1000+1100+2500</f>
        <v>11600</v>
      </c>
      <c r="J815" s="257">
        <v>0</v>
      </c>
      <c r="K815" s="257">
        <f>7000-5000</f>
        <v>2000</v>
      </c>
      <c r="L815" s="257">
        <v>2000</v>
      </c>
      <c r="M815" s="257">
        <v>2000</v>
      </c>
      <c r="N815" s="257">
        <v>-2000</v>
      </c>
      <c r="O815" s="257">
        <f t="shared" si="1470"/>
        <v>0</v>
      </c>
      <c r="P815" s="257">
        <v>0</v>
      </c>
      <c r="Q815" s="257">
        <v>0</v>
      </c>
      <c r="R815" s="257">
        <f t="shared" si="1337"/>
        <v>0</v>
      </c>
      <c r="S815" s="257">
        <f t="shared" si="1471"/>
        <v>0</v>
      </c>
      <c r="T815" s="257">
        <f t="shared" si="1472"/>
        <v>0</v>
      </c>
      <c r="U815" s="257">
        <f t="shared" si="1488"/>
        <v>0</v>
      </c>
      <c r="V815" s="257">
        <f t="shared" si="1484"/>
        <v>0</v>
      </c>
      <c r="W815" s="257">
        <f t="shared" si="1489"/>
        <v>0</v>
      </c>
      <c r="X815" s="257">
        <f t="shared" si="1490"/>
        <v>0</v>
      </c>
      <c r="Y815" s="257">
        <f t="shared" si="1491"/>
        <v>0</v>
      </c>
      <c r="Z815" s="257">
        <f t="shared" si="1482"/>
        <v>0</v>
      </c>
    </row>
    <row r="816" spans="1:26" ht="17.25" hidden="1" customHeight="1" x14ac:dyDescent="0.2">
      <c r="A816" s="259" t="s">
        <v>936</v>
      </c>
      <c r="B816" s="252" t="s">
        <v>146</v>
      </c>
      <c r="C816" s="252" t="s">
        <v>198</v>
      </c>
      <c r="D816" s="252" t="s">
        <v>192</v>
      </c>
      <c r="E816" s="252" t="s">
        <v>928</v>
      </c>
      <c r="F816" s="252" t="s">
        <v>926</v>
      </c>
      <c r="G816" s="257"/>
      <c r="H816" s="257"/>
      <c r="I816" s="257"/>
      <c r="J816" s="257"/>
      <c r="K816" s="257">
        <v>1910.6</v>
      </c>
      <c r="L816" s="257">
        <v>0</v>
      </c>
      <c r="M816" s="257">
        <v>0</v>
      </c>
      <c r="N816" s="257">
        <v>0</v>
      </c>
      <c r="O816" s="257">
        <f t="shared" si="1470"/>
        <v>0</v>
      </c>
      <c r="P816" s="257">
        <v>0</v>
      </c>
      <c r="Q816" s="257">
        <v>0</v>
      </c>
      <c r="R816" s="257">
        <f t="shared" si="1337"/>
        <v>0</v>
      </c>
      <c r="S816" s="257">
        <f t="shared" si="1471"/>
        <v>0</v>
      </c>
      <c r="T816" s="257">
        <f t="shared" si="1472"/>
        <v>0</v>
      </c>
      <c r="U816" s="257">
        <f t="shared" si="1488"/>
        <v>0</v>
      </c>
      <c r="V816" s="257">
        <f t="shared" si="1484"/>
        <v>0</v>
      </c>
      <c r="W816" s="257">
        <f t="shared" si="1489"/>
        <v>0</v>
      </c>
      <c r="X816" s="257">
        <f t="shared" si="1490"/>
        <v>0</v>
      </c>
      <c r="Y816" s="257">
        <f t="shared" si="1491"/>
        <v>0</v>
      </c>
      <c r="Z816" s="257">
        <f t="shared" si="1482"/>
        <v>0</v>
      </c>
    </row>
    <row r="817" spans="1:26" ht="17.25" hidden="1" customHeight="1" x14ac:dyDescent="0.2">
      <c r="A817" s="259" t="s">
        <v>934</v>
      </c>
      <c r="B817" s="252" t="s">
        <v>146</v>
      </c>
      <c r="C817" s="252" t="s">
        <v>198</v>
      </c>
      <c r="D817" s="252" t="s">
        <v>192</v>
      </c>
      <c r="E817" s="252" t="s">
        <v>928</v>
      </c>
      <c r="F817" s="252" t="s">
        <v>0</v>
      </c>
      <c r="G817" s="257"/>
      <c r="H817" s="257"/>
      <c r="I817" s="257"/>
      <c r="J817" s="257"/>
      <c r="K817" s="257">
        <v>5000</v>
      </c>
      <c r="L817" s="257">
        <v>0</v>
      </c>
      <c r="M817" s="257">
        <v>0</v>
      </c>
      <c r="N817" s="257">
        <v>0</v>
      </c>
      <c r="O817" s="257">
        <f t="shared" si="1470"/>
        <v>0</v>
      </c>
      <c r="P817" s="257">
        <v>0</v>
      </c>
      <c r="Q817" s="257">
        <v>0</v>
      </c>
      <c r="R817" s="257">
        <f t="shared" si="1337"/>
        <v>0</v>
      </c>
      <c r="S817" s="257">
        <f t="shared" si="1471"/>
        <v>0</v>
      </c>
      <c r="T817" s="257">
        <f t="shared" si="1472"/>
        <v>0</v>
      </c>
      <c r="U817" s="257">
        <f t="shared" si="1488"/>
        <v>0</v>
      </c>
      <c r="V817" s="257">
        <f t="shared" si="1484"/>
        <v>0</v>
      </c>
      <c r="W817" s="257">
        <f t="shared" si="1489"/>
        <v>0</v>
      </c>
      <c r="X817" s="257">
        <f t="shared" si="1490"/>
        <v>0</v>
      </c>
      <c r="Y817" s="257">
        <f t="shared" si="1491"/>
        <v>0</v>
      </c>
      <c r="Z817" s="257">
        <f t="shared" si="1482"/>
        <v>0</v>
      </c>
    </row>
    <row r="818" spans="1:26" ht="17.25" hidden="1" customHeight="1" x14ac:dyDescent="0.2">
      <c r="A818" s="259" t="s">
        <v>879</v>
      </c>
      <c r="B818" s="252" t="s">
        <v>146</v>
      </c>
      <c r="C818" s="252" t="s">
        <v>198</v>
      </c>
      <c r="D818" s="252" t="s">
        <v>192</v>
      </c>
      <c r="E818" s="252" t="s">
        <v>880</v>
      </c>
      <c r="F818" s="252" t="s">
        <v>926</v>
      </c>
      <c r="G818" s="257"/>
      <c r="H818" s="257"/>
      <c r="I818" s="257"/>
      <c r="J818" s="257"/>
      <c r="K818" s="257">
        <v>1500</v>
      </c>
      <c r="L818" s="257">
        <v>0</v>
      </c>
      <c r="M818" s="257">
        <v>0</v>
      </c>
      <c r="N818" s="257">
        <v>0</v>
      </c>
      <c r="O818" s="257">
        <f t="shared" si="1470"/>
        <v>0</v>
      </c>
      <c r="P818" s="257">
        <v>0</v>
      </c>
      <c r="Q818" s="257">
        <v>0</v>
      </c>
      <c r="R818" s="257">
        <f t="shared" si="1337"/>
        <v>0</v>
      </c>
      <c r="S818" s="257">
        <f t="shared" si="1471"/>
        <v>0</v>
      </c>
      <c r="T818" s="257">
        <f t="shared" si="1472"/>
        <v>0</v>
      </c>
      <c r="U818" s="257">
        <f t="shared" si="1488"/>
        <v>0</v>
      </c>
      <c r="V818" s="257">
        <f t="shared" si="1484"/>
        <v>0</v>
      </c>
      <c r="W818" s="257">
        <f t="shared" si="1489"/>
        <v>0</v>
      </c>
      <c r="X818" s="257">
        <f t="shared" si="1490"/>
        <v>0</v>
      </c>
      <c r="Y818" s="257">
        <f t="shared" si="1491"/>
        <v>0</v>
      </c>
      <c r="Z818" s="257">
        <f t="shared" si="1482"/>
        <v>0</v>
      </c>
    </row>
    <row r="819" spans="1:26" ht="17.25" hidden="1" customHeight="1" x14ac:dyDescent="0.2">
      <c r="A819" s="259" t="s">
        <v>935</v>
      </c>
      <c r="B819" s="252" t="s">
        <v>146</v>
      </c>
      <c r="C819" s="252" t="s">
        <v>198</v>
      </c>
      <c r="D819" s="252" t="s">
        <v>192</v>
      </c>
      <c r="E819" s="252" t="s">
        <v>929</v>
      </c>
      <c r="F819" s="252" t="s">
        <v>926</v>
      </c>
      <c r="G819" s="257"/>
      <c r="H819" s="257"/>
      <c r="I819" s="257"/>
      <c r="J819" s="257"/>
      <c r="K819" s="257">
        <v>6301.7</v>
      </c>
      <c r="L819" s="257">
        <v>0</v>
      </c>
      <c r="M819" s="257">
        <v>0</v>
      </c>
      <c r="N819" s="257">
        <v>0</v>
      </c>
      <c r="O819" s="257">
        <f t="shared" si="1470"/>
        <v>0</v>
      </c>
      <c r="P819" s="257">
        <v>0</v>
      </c>
      <c r="Q819" s="257">
        <v>0</v>
      </c>
      <c r="R819" s="257">
        <f t="shared" si="1337"/>
        <v>0</v>
      </c>
      <c r="S819" s="257">
        <f t="shared" si="1471"/>
        <v>0</v>
      </c>
      <c r="T819" s="257">
        <f t="shared" si="1472"/>
        <v>0</v>
      </c>
      <c r="U819" s="257">
        <f t="shared" si="1488"/>
        <v>0</v>
      </c>
      <c r="V819" s="257">
        <f t="shared" si="1484"/>
        <v>0</v>
      </c>
      <c r="W819" s="257">
        <f t="shared" si="1489"/>
        <v>0</v>
      </c>
      <c r="X819" s="257">
        <f t="shared" si="1490"/>
        <v>0</v>
      </c>
      <c r="Y819" s="257">
        <f t="shared" si="1491"/>
        <v>0</v>
      </c>
      <c r="Z819" s="257">
        <f t="shared" si="1482"/>
        <v>0</v>
      </c>
    </row>
    <row r="820" spans="1:26" ht="53.25" hidden="1" customHeight="1" x14ac:dyDescent="0.2">
      <c r="A820" s="259" t="s">
        <v>879</v>
      </c>
      <c r="B820" s="252" t="s">
        <v>146</v>
      </c>
      <c r="C820" s="252" t="s">
        <v>198</v>
      </c>
      <c r="D820" s="252" t="s">
        <v>192</v>
      </c>
      <c r="E820" s="252" t="s">
        <v>881</v>
      </c>
      <c r="F820" s="252" t="s">
        <v>79</v>
      </c>
      <c r="G820" s="257"/>
      <c r="H820" s="257">
        <v>1410.6</v>
      </c>
      <c r="I820" s="257">
        <v>0</v>
      </c>
      <c r="J820" s="257">
        <f t="shared" si="1487"/>
        <v>1410.6</v>
      </c>
      <c r="K820" s="257">
        <v>-1410.6</v>
      </c>
      <c r="L820" s="257">
        <f t="shared" ref="L820:N823" si="1492">I820+J820</f>
        <v>1410.6</v>
      </c>
      <c r="M820" s="257">
        <f t="shared" si="1492"/>
        <v>0</v>
      </c>
      <c r="N820" s="257">
        <f t="shared" si="1492"/>
        <v>0</v>
      </c>
      <c r="O820" s="257">
        <f t="shared" si="1470"/>
        <v>0</v>
      </c>
      <c r="P820" s="257">
        <f t="shared" ref="P820:Q823" si="1493">M820+N820</f>
        <v>0</v>
      </c>
      <c r="Q820" s="257">
        <f t="shared" si="1493"/>
        <v>0</v>
      </c>
      <c r="R820" s="257">
        <f t="shared" si="1337"/>
        <v>0</v>
      </c>
      <c r="S820" s="257">
        <f t="shared" si="1471"/>
        <v>0</v>
      </c>
      <c r="T820" s="257">
        <f t="shared" si="1472"/>
        <v>0</v>
      </c>
      <c r="U820" s="257">
        <f t="shared" si="1488"/>
        <v>0</v>
      </c>
      <c r="V820" s="257">
        <f t="shared" si="1484"/>
        <v>0</v>
      </c>
      <c r="W820" s="257">
        <f t="shared" si="1489"/>
        <v>0</v>
      </c>
      <c r="X820" s="257">
        <f t="shared" si="1490"/>
        <v>0</v>
      </c>
      <c r="Y820" s="257">
        <f t="shared" si="1491"/>
        <v>0</v>
      </c>
      <c r="Z820" s="257">
        <f t="shared" si="1482"/>
        <v>0</v>
      </c>
    </row>
    <row r="821" spans="1:26" ht="54.75" hidden="1" customHeight="1" x14ac:dyDescent="0.2">
      <c r="A821" s="259" t="s">
        <v>879</v>
      </c>
      <c r="B821" s="252" t="s">
        <v>146</v>
      </c>
      <c r="C821" s="252" t="s">
        <v>198</v>
      </c>
      <c r="D821" s="252" t="s">
        <v>192</v>
      </c>
      <c r="E821" s="252" t="s">
        <v>880</v>
      </c>
      <c r="F821" s="252" t="s">
        <v>79</v>
      </c>
      <c r="G821" s="257"/>
      <c r="H821" s="257">
        <v>900</v>
      </c>
      <c r="I821" s="257">
        <v>0</v>
      </c>
      <c r="J821" s="257">
        <f t="shared" si="1487"/>
        <v>900</v>
      </c>
      <c r="K821" s="257">
        <v>-900</v>
      </c>
      <c r="L821" s="257">
        <f t="shared" si="1492"/>
        <v>900</v>
      </c>
      <c r="M821" s="257">
        <f t="shared" si="1492"/>
        <v>0</v>
      </c>
      <c r="N821" s="257">
        <f t="shared" si="1492"/>
        <v>0</v>
      </c>
      <c r="O821" s="257">
        <f t="shared" si="1470"/>
        <v>0</v>
      </c>
      <c r="P821" s="257">
        <f t="shared" si="1493"/>
        <v>0</v>
      </c>
      <c r="Q821" s="257">
        <f t="shared" si="1493"/>
        <v>0</v>
      </c>
      <c r="R821" s="257">
        <f t="shared" si="1337"/>
        <v>0</v>
      </c>
      <c r="S821" s="257">
        <f t="shared" si="1471"/>
        <v>0</v>
      </c>
      <c r="T821" s="257">
        <f t="shared" si="1472"/>
        <v>0</v>
      </c>
      <c r="U821" s="257">
        <f t="shared" si="1488"/>
        <v>0</v>
      </c>
      <c r="V821" s="257">
        <f t="shared" si="1484"/>
        <v>0</v>
      </c>
      <c r="W821" s="257">
        <f t="shared" si="1489"/>
        <v>0</v>
      </c>
      <c r="X821" s="257">
        <f t="shared" si="1490"/>
        <v>0</v>
      </c>
      <c r="Y821" s="257">
        <f t="shared" si="1491"/>
        <v>0</v>
      </c>
      <c r="Z821" s="257">
        <f t="shared" si="1482"/>
        <v>0</v>
      </c>
    </row>
    <row r="822" spans="1:26" ht="60" hidden="1" customHeight="1" x14ac:dyDescent="0.2">
      <c r="A822" s="273" t="s">
        <v>812</v>
      </c>
      <c r="B822" s="271" t="s">
        <v>146</v>
      </c>
      <c r="C822" s="252" t="s">
        <v>198</v>
      </c>
      <c r="D822" s="252" t="s">
        <v>192</v>
      </c>
      <c r="E822" s="252" t="s">
        <v>813</v>
      </c>
      <c r="F822" s="252"/>
      <c r="G822" s="257"/>
      <c r="H822" s="257"/>
      <c r="I822" s="257">
        <f>I823</f>
        <v>0</v>
      </c>
      <c r="J822" s="257">
        <f t="shared" si="1487"/>
        <v>0</v>
      </c>
      <c r="K822" s="257">
        <f>K823</f>
        <v>0</v>
      </c>
      <c r="L822" s="257">
        <f t="shared" si="1492"/>
        <v>0</v>
      </c>
      <c r="M822" s="257">
        <f t="shared" si="1492"/>
        <v>0</v>
      </c>
      <c r="N822" s="257">
        <f t="shared" si="1492"/>
        <v>0</v>
      </c>
      <c r="O822" s="257">
        <f t="shared" si="1470"/>
        <v>0</v>
      </c>
      <c r="P822" s="257">
        <f t="shared" si="1493"/>
        <v>0</v>
      </c>
      <c r="Q822" s="257">
        <f t="shared" si="1493"/>
        <v>0</v>
      </c>
      <c r="R822" s="257">
        <f t="shared" si="1337"/>
        <v>0</v>
      </c>
      <c r="S822" s="257">
        <f t="shared" si="1471"/>
        <v>0</v>
      </c>
      <c r="T822" s="257">
        <f t="shared" si="1472"/>
        <v>0</v>
      </c>
      <c r="U822" s="257">
        <f t="shared" si="1488"/>
        <v>0</v>
      </c>
      <c r="V822" s="257">
        <f t="shared" si="1484"/>
        <v>0</v>
      </c>
      <c r="W822" s="257">
        <f t="shared" si="1489"/>
        <v>0</v>
      </c>
      <c r="X822" s="257">
        <f t="shared" si="1490"/>
        <v>0</v>
      </c>
      <c r="Y822" s="257">
        <f t="shared" si="1491"/>
        <v>0</v>
      </c>
      <c r="Z822" s="257">
        <f t="shared" si="1482"/>
        <v>0</v>
      </c>
    </row>
    <row r="823" spans="1:26" ht="30.75" hidden="1" customHeight="1" x14ac:dyDescent="0.2">
      <c r="A823" s="273" t="s">
        <v>93</v>
      </c>
      <c r="B823" s="271" t="s">
        <v>146</v>
      </c>
      <c r="C823" s="252" t="s">
        <v>198</v>
      </c>
      <c r="D823" s="252" t="s">
        <v>192</v>
      </c>
      <c r="E823" s="252" t="s">
        <v>813</v>
      </c>
      <c r="F823" s="252" t="s">
        <v>94</v>
      </c>
      <c r="G823" s="257"/>
      <c r="H823" s="257"/>
      <c r="I823" s="257">
        <v>0</v>
      </c>
      <c r="J823" s="257">
        <f t="shared" si="1487"/>
        <v>0</v>
      </c>
      <c r="K823" s="257">
        <v>0</v>
      </c>
      <c r="L823" s="257">
        <f t="shared" si="1492"/>
        <v>0</v>
      </c>
      <c r="M823" s="257">
        <f t="shared" si="1492"/>
        <v>0</v>
      </c>
      <c r="N823" s="257">
        <f t="shared" si="1492"/>
        <v>0</v>
      </c>
      <c r="O823" s="257">
        <f t="shared" si="1470"/>
        <v>0</v>
      </c>
      <c r="P823" s="257">
        <f t="shared" si="1493"/>
        <v>0</v>
      </c>
      <c r="Q823" s="257">
        <f t="shared" si="1493"/>
        <v>0</v>
      </c>
      <c r="R823" s="257">
        <f t="shared" si="1337"/>
        <v>0</v>
      </c>
      <c r="S823" s="257">
        <f t="shared" si="1471"/>
        <v>0</v>
      </c>
      <c r="T823" s="257">
        <f t="shared" si="1472"/>
        <v>0</v>
      </c>
      <c r="U823" s="257">
        <f t="shared" si="1488"/>
        <v>0</v>
      </c>
      <c r="V823" s="257">
        <f t="shared" si="1484"/>
        <v>0</v>
      </c>
      <c r="W823" s="257">
        <f t="shared" si="1489"/>
        <v>0</v>
      </c>
      <c r="X823" s="257">
        <f t="shared" si="1490"/>
        <v>0</v>
      </c>
      <c r="Y823" s="257">
        <f t="shared" si="1491"/>
        <v>0</v>
      </c>
      <c r="Z823" s="257">
        <f t="shared" si="1482"/>
        <v>0</v>
      </c>
    </row>
    <row r="824" spans="1:26" ht="29.25" hidden="1" customHeight="1" x14ac:dyDescent="0.2">
      <c r="A824" s="259" t="s">
        <v>521</v>
      </c>
      <c r="B824" s="271">
        <v>801</v>
      </c>
      <c r="C824" s="252" t="s">
        <v>198</v>
      </c>
      <c r="D824" s="252" t="s">
        <v>192</v>
      </c>
      <c r="E824" s="252" t="s">
        <v>821</v>
      </c>
      <c r="F824" s="252" t="s">
        <v>79</v>
      </c>
      <c r="G824" s="257"/>
      <c r="H824" s="257">
        <v>0</v>
      </c>
      <c r="I824" s="257">
        <v>1000</v>
      </c>
      <c r="J824" s="257">
        <f t="shared" si="1487"/>
        <v>1000</v>
      </c>
      <c r="K824" s="257">
        <v>0</v>
      </c>
      <c r="L824" s="257">
        <v>0</v>
      </c>
      <c r="M824" s="257">
        <v>0</v>
      </c>
      <c r="N824" s="257">
        <v>1</v>
      </c>
      <c r="O824" s="257">
        <f t="shared" si="1470"/>
        <v>1</v>
      </c>
      <c r="P824" s="257">
        <v>3</v>
      </c>
      <c r="Q824" s="257">
        <v>3</v>
      </c>
      <c r="R824" s="257">
        <f t="shared" ref="R824:R894" si="1494">P824+Q824</f>
        <v>6</v>
      </c>
      <c r="S824" s="257">
        <f t="shared" si="1471"/>
        <v>9</v>
      </c>
      <c r="T824" s="257">
        <f t="shared" si="1472"/>
        <v>15</v>
      </c>
      <c r="U824" s="257">
        <f t="shared" si="1488"/>
        <v>24</v>
      </c>
      <c r="V824" s="257">
        <f t="shared" si="1484"/>
        <v>39</v>
      </c>
      <c r="W824" s="257">
        <f t="shared" si="1489"/>
        <v>63</v>
      </c>
      <c r="X824" s="257">
        <v>0</v>
      </c>
      <c r="Y824" s="257">
        <f t="shared" si="1491"/>
        <v>63</v>
      </c>
      <c r="Z824" s="257">
        <f t="shared" si="1482"/>
        <v>63</v>
      </c>
    </row>
    <row r="825" spans="1:26" ht="64.5" customHeight="1" x14ac:dyDescent="0.2">
      <c r="A825" s="259" t="s">
        <v>1281</v>
      </c>
      <c r="B825" s="271">
        <v>801</v>
      </c>
      <c r="C825" s="252" t="s">
        <v>198</v>
      </c>
      <c r="D825" s="252" t="s">
        <v>192</v>
      </c>
      <c r="E825" s="252" t="s">
        <v>1282</v>
      </c>
      <c r="F825" s="252"/>
      <c r="G825" s="257"/>
      <c r="H825" s="257"/>
      <c r="I825" s="257"/>
      <c r="J825" s="257"/>
      <c r="K825" s="257"/>
      <c r="L825" s="257"/>
      <c r="M825" s="257">
        <v>0</v>
      </c>
      <c r="N825" s="257">
        <v>1444.6</v>
      </c>
      <c r="O825" s="257">
        <f t="shared" si="1470"/>
        <v>1444.6</v>
      </c>
      <c r="P825" s="257">
        <v>1444.6</v>
      </c>
      <c r="Q825" s="257">
        <v>13371.9</v>
      </c>
      <c r="R825" s="257">
        <f t="shared" si="1494"/>
        <v>14816.5</v>
      </c>
      <c r="S825" s="257">
        <v>17525.7</v>
      </c>
      <c r="T825" s="257">
        <f>T826</f>
        <v>32342.2</v>
      </c>
      <c r="U825" s="257">
        <f t="shared" ref="U825:V825" si="1495">U826</f>
        <v>-21667</v>
      </c>
      <c r="V825" s="257">
        <f t="shared" si="1495"/>
        <v>10675.2</v>
      </c>
      <c r="W825" s="257">
        <f t="shared" ref="W825" si="1496">W826</f>
        <v>3059.6</v>
      </c>
      <c r="X825" s="257">
        <f>X826+X827</f>
        <v>14985.5</v>
      </c>
      <c r="Y825" s="257">
        <f t="shared" ref="Y825:Z825" si="1497">Y826+Y827</f>
        <v>9895.7999999999993</v>
      </c>
      <c r="Z825" s="257">
        <f t="shared" si="1497"/>
        <v>24881.3</v>
      </c>
    </row>
    <row r="826" spans="1:26" ht="30" customHeight="1" x14ac:dyDescent="0.2">
      <c r="A826" s="259" t="s">
        <v>1105</v>
      </c>
      <c r="B826" s="271">
        <v>801</v>
      </c>
      <c r="C826" s="252" t="s">
        <v>198</v>
      </c>
      <c r="D826" s="252" t="s">
        <v>192</v>
      </c>
      <c r="E826" s="252" t="s">
        <v>1014</v>
      </c>
      <c r="F826" s="252" t="s">
        <v>1099</v>
      </c>
      <c r="G826" s="257"/>
      <c r="H826" s="257"/>
      <c r="I826" s="257"/>
      <c r="J826" s="257"/>
      <c r="K826" s="257"/>
      <c r="L826" s="257"/>
      <c r="M826" s="257"/>
      <c r="N826" s="257"/>
      <c r="O826" s="257"/>
      <c r="P826" s="257"/>
      <c r="Q826" s="257"/>
      <c r="R826" s="257"/>
      <c r="S826" s="257">
        <v>16858.7</v>
      </c>
      <c r="T826" s="257">
        <v>32342.2</v>
      </c>
      <c r="U826" s="257">
        <v>-21667</v>
      </c>
      <c r="V826" s="257">
        <v>10675.2</v>
      </c>
      <c r="W826" s="257">
        <v>3059.6</v>
      </c>
      <c r="X826" s="257">
        <v>14985.5</v>
      </c>
      <c r="Y826" s="257">
        <v>-14985.5</v>
      </c>
      <c r="Z826" s="257">
        <f>X826+Y826</f>
        <v>0</v>
      </c>
    </row>
    <row r="827" spans="1:26" ht="30" customHeight="1" x14ac:dyDescent="0.2">
      <c r="A827" s="259" t="s">
        <v>1105</v>
      </c>
      <c r="B827" s="271">
        <v>801</v>
      </c>
      <c r="C827" s="252" t="s">
        <v>198</v>
      </c>
      <c r="D827" s="252" t="s">
        <v>192</v>
      </c>
      <c r="E827" s="252" t="s">
        <v>1282</v>
      </c>
      <c r="F827" s="252" t="s">
        <v>1099</v>
      </c>
      <c r="G827" s="257"/>
      <c r="H827" s="257"/>
      <c r="I827" s="257"/>
      <c r="J827" s="257"/>
      <c r="K827" s="257"/>
      <c r="L827" s="257"/>
      <c r="M827" s="257"/>
      <c r="N827" s="257"/>
      <c r="O827" s="257"/>
      <c r="P827" s="257"/>
      <c r="Q827" s="257"/>
      <c r="R827" s="257"/>
      <c r="S827" s="257">
        <v>16858.7</v>
      </c>
      <c r="T827" s="257">
        <v>32342.2</v>
      </c>
      <c r="U827" s="257">
        <v>-21667</v>
      </c>
      <c r="V827" s="257">
        <v>10675.2</v>
      </c>
      <c r="W827" s="257">
        <v>3059.6</v>
      </c>
      <c r="X827" s="257">
        <v>0</v>
      </c>
      <c r="Y827" s="257">
        <v>24881.3</v>
      </c>
      <c r="Z827" s="257">
        <f>X827+Y827</f>
        <v>24881.3</v>
      </c>
    </row>
    <row r="828" spans="1:26" ht="126" customHeight="1" x14ac:dyDescent="0.2">
      <c r="A828" s="259" t="s">
        <v>1048</v>
      </c>
      <c r="B828" s="252" t="s">
        <v>146</v>
      </c>
      <c r="C828" s="252" t="s">
        <v>198</v>
      </c>
      <c r="D828" s="252" t="s">
        <v>192</v>
      </c>
      <c r="E828" s="252" t="s">
        <v>1280</v>
      </c>
      <c r="F828" s="252"/>
      <c r="G828" s="257"/>
      <c r="H828" s="257"/>
      <c r="I828" s="257"/>
      <c r="J828" s="257"/>
      <c r="K828" s="257"/>
      <c r="L828" s="257"/>
      <c r="M828" s="257"/>
      <c r="N828" s="257"/>
      <c r="O828" s="257"/>
      <c r="P828" s="257"/>
      <c r="Q828" s="257"/>
      <c r="R828" s="257">
        <f>R829</f>
        <v>0</v>
      </c>
      <c r="S828" s="257">
        <f t="shared" ref="S828:W828" si="1498">S829</f>
        <v>16858.7</v>
      </c>
      <c r="T828" s="257">
        <f t="shared" si="1498"/>
        <v>16858.7</v>
      </c>
      <c r="U828" s="257">
        <f t="shared" si="1498"/>
        <v>-4761.5</v>
      </c>
      <c r="V828" s="257">
        <f t="shared" si="1498"/>
        <v>12097.2</v>
      </c>
      <c r="W828" s="257">
        <f t="shared" si="1498"/>
        <v>-132.19999999999999</v>
      </c>
      <c r="X828" s="257">
        <f>X829+X830</f>
        <v>11768</v>
      </c>
      <c r="Y828" s="257">
        <f t="shared" ref="Y828:Z828" si="1499">Y829+Y830</f>
        <v>6082.5999999999985</v>
      </c>
      <c r="Z828" s="257">
        <f t="shared" si="1499"/>
        <v>17850.599999999999</v>
      </c>
    </row>
    <row r="829" spans="1:26" ht="36" customHeight="1" x14ac:dyDescent="0.2">
      <c r="A829" s="259" t="s">
        <v>1105</v>
      </c>
      <c r="B829" s="252" t="s">
        <v>146</v>
      </c>
      <c r="C829" s="252" t="s">
        <v>198</v>
      </c>
      <c r="D829" s="252" t="s">
        <v>192</v>
      </c>
      <c r="E829" s="252" t="s">
        <v>1115</v>
      </c>
      <c r="F829" s="252" t="s">
        <v>1099</v>
      </c>
      <c r="G829" s="257"/>
      <c r="H829" s="257"/>
      <c r="I829" s="257"/>
      <c r="J829" s="257"/>
      <c r="K829" s="257"/>
      <c r="L829" s="257"/>
      <c r="M829" s="257"/>
      <c r="N829" s="257"/>
      <c r="O829" s="257"/>
      <c r="P829" s="257"/>
      <c r="Q829" s="257"/>
      <c r="R829" s="257"/>
      <c r="S829" s="257">
        <v>16858.7</v>
      </c>
      <c r="T829" s="257">
        <f t="shared" ref="T829" si="1500">R829+S829</f>
        <v>16858.7</v>
      </c>
      <c r="U829" s="257">
        <v>-4761.5</v>
      </c>
      <c r="V829" s="257">
        <v>12097.2</v>
      </c>
      <c r="W829" s="257">
        <v>-132.19999999999999</v>
      </c>
      <c r="X829" s="257">
        <v>11768</v>
      </c>
      <c r="Y829" s="257">
        <v>-11768</v>
      </c>
      <c r="Z829" s="257">
        <f t="shared" ref="Z829" si="1501">X829+Y829</f>
        <v>0</v>
      </c>
    </row>
    <row r="830" spans="1:26" ht="36" customHeight="1" x14ac:dyDescent="0.2">
      <c r="A830" s="259" t="s">
        <v>1105</v>
      </c>
      <c r="B830" s="252" t="s">
        <v>146</v>
      </c>
      <c r="C830" s="252" t="s">
        <v>198</v>
      </c>
      <c r="D830" s="252" t="s">
        <v>192</v>
      </c>
      <c r="E830" s="252" t="s">
        <v>1280</v>
      </c>
      <c r="F830" s="252" t="s">
        <v>1099</v>
      </c>
      <c r="G830" s="257"/>
      <c r="H830" s="257"/>
      <c r="I830" s="257"/>
      <c r="J830" s="257"/>
      <c r="K830" s="257"/>
      <c r="L830" s="257"/>
      <c r="M830" s="257"/>
      <c r="N830" s="257"/>
      <c r="O830" s="257"/>
      <c r="P830" s="257"/>
      <c r="Q830" s="257"/>
      <c r="R830" s="257"/>
      <c r="S830" s="257">
        <v>16858.7</v>
      </c>
      <c r="T830" s="257">
        <f t="shared" ref="T830" si="1502">R830+S830</f>
        <v>16858.7</v>
      </c>
      <c r="U830" s="257">
        <v>-4761.5</v>
      </c>
      <c r="V830" s="257">
        <v>12097.2</v>
      </c>
      <c r="W830" s="257">
        <v>-132.19999999999999</v>
      </c>
      <c r="X830" s="257">
        <v>0</v>
      </c>
      <c r="Y830" s="257">
        <v>17850.599999999999</v>
      </c>
      <c r="Z830" s="257">
        <f t="shared" ref="Z830" si="1503">X830+Y830</f>
        <v>17850.599999999999</v>
      </c>
    </row>
    <row r="831" spans="1:26" ht="34.5" customHeight="1" x14ac:dyDescent="0.2">
      <c r="A831" s="367" t="s">
        <v>1042</v>
      </c>
      <c r="B831" s="252" t="s">
        <v>146</v>
      </c>
      <c r="C831" s="252" t="s">
        <v>198</v>
      </c>
      <c r="D831" s="252" t="s">
        <v>192</v>
      </c>
      <c r="E831" s="272" t="s">
        <v>1261</v>
      </c>
      <c r="F831" s="252"/>
      <c r="G831" s="257"/>
      <c r="H831" s="257"/>
      <c r="I831" s="257"/>
      <c r="J831" s="257"/>
      <c r="K831" s="257"/>
      <c r="L831" s="257"/>
      <c r="M831" s="257"/>
      <c r="N831" s="257"/>
      <c r="O831" s="257"/>
      <c r="P831" s="257"/>
      <c r="Q831" s="257"/>
      <c r="R831" s="257">
        <f>R832+R833</f>
        <v>0</v>
      </c>
      <c r="S831" s="257">
        <f t="shared" ref="S831:T831" si="1504">S832+S833</f>
        <v>874.40000000000009</v>
      </c>
      <c r="T831" s="257">
        <f t="shared" si="1504"/>
        <v>874.40000000000009</v>
      </c>
      <c r="U831" s="257">
        <f t="shared" ref="U831:V831" si="1505">U832+U833</f>
        <v>-476.67</v>
      </c>
      <c r="V831" s="257">
        <f t="shared" si="1505"/>
        <v>782.73</v>
      </c>
      <c r="W831" s="257">
        <f t="shared" ref="W831" si="1506">W832+W833</f>
        <v>-358.89</v>
      </c>
      <c r="X831" s="257">
        <f>X832+X833+X834</f>
        <v>1127.4799999999998</v>
      </c>
      <c r="Y831" s="257">
        <f t="shared" ref="Y831:Z831" si="1507">Y832+Y833+Y834</f>
        <v>-1027.48</v>
      </c>
      <c r="Z831" s="257">
        <f t="shared" si="1507"/>
        <v>100</v>
      </c>
    </row>
    <row r="832" spans="1:26" ht="31.5" customHeight="1" x14ac:dyDescent="0.2">
      <c r="A832" s="367" t="s">
        <v>1105</v>
      </c>
      <c r="B832" s="252" t="s">
        <v>146</v>
      </c>
      <c r="C832" s="252" t="s">
        <v>198</v>
      </c>
      <c r="D832" s="252" t="s">
        <v>192</v>
      </c>
      <c r="E832" s="272" t="s">
        <v>1116</v>
      </c>
      <c r="F832" s="252" t="s">
        <v>1099</v>
      </c>
      <c r="G832" s="257"/>
      <c r="H832" s="257"/>
      <c r="I832" s="257"/>
      <c r="J832" s="257"/>
      <c r="K832" s="257"/>
      <c r="L832" s="257"/>
      <c r="M832" s="257"/>
      <c r="N832" s="257"/>
      <c r="O832" s="257"/>
      <c r="P832" s="257"/>
      <c r="Q832" s="257"/>
      <c r="R832" s="257"/>
      <c r="S832" s="257">
        <v>865.7</v>
      </c>
      <c r="T832" s="257">
        <f>R832+S832</f>
        <v>865.7</v>
      </c>
      <c r="U832" s="257">
        <v>-475.8</v>
      </c>
      <c r="V832" s="257">
        <v>774.9</v>
      </c>
      <c r="W832" s="257">
        <v>-366.5</v>
      </c>
      <c r="X832" s="257">
        <v>1116.1999999999998</v>
      </c>
      <c r="Y832" s="257">
        <v>-1116.2</v>
      </c>
      <c r="Z832" s="257">
        <f>X832+Y832</f>
        <v>0</v>
      </c>
    </row>
    <row r="833" spans="1:26" ht="32.25" customHeight="1" x14ac:dyDescent="0.2">
      <c r="A833" s="391" t="s">
        <v>1105</v>
      </c>
      <c r="B833" s="252" t="s">
        <v>146</v>
      </c>
      <c r="C833" s="252" t="s">
        <v>198</v>
      </c>
      <c r="D833" s="252" t="s">
        <v>192</v>
      </c>
      <c r="E833" s="272" t="s">
        <v>1116</v>
      </c>
      <c r="F833" s="252" t="s">
        <v>1099</v>
      </c>
      <c r="G833" s="257"/>
      <c r="H833" s="257"/>
      <c r="I833" s="257"/>
      <c r="J833" s="257"/>
      <c r="K833" s="257"/>
      <c r="L833" s="257"/>
      <c r="M833" s="257"/>
      <c r="N833" s="257"/>
      <c r="O833" s="257"/>
      <c r="P833" s="257"/>
      <c r="Q833" s="257"/>
      <c r="R833" s="257"/>
      <c r="S833" s="257">
        <v>8.6999999999999993</v>
      </c>
      <c r="T833" s="257">
        <f>R833+S833</f>
        <v>8.6999999999999993</v>
      </c>
      <c r="U833" s="257">
        <v>-0.87</v>
      </c>
      <c r="V833" s="257">
        <v>7.83</v>
      </c>
      <c r="W833" s="257">
        <v>7.61</v>
      </c>
      <c r="X833" s="257">
        <v>11.280000000000001</v>
      </c>
      <c r="Y833" s="257">
        <v>-11.28</v>
      </c>
      <c r="Z833" s="257">
        <f>X833+Y833</f>
        <v>0</v>
      </c>
    </row>
    <row r="834" spans="1:26" ht="32.25" customHeight="1" x14ac:dyDescent="0.2">
      <c r="A834" s="367" t="s">
        <v>1105</v>
      </c>
      <c r="B834" s="252" t="s">
        <v>146</v>
      </c>
      <c r="C834" s="252" t="s">
        <v>198</v>
      </c>
      <c r="D834" s="252" t="s">
        <v>192</v>
      </c>
      <c r="E834" s="272" t="s">
        <v>1261</v>
      </c>
      <c r="F834" s="252" t="s">
        <v>1099</v>
      </c>
      <c r="G834" s="257"/>
      <c r="H834" s="257"/>
      <c r="I834" s="257"/>
      <c r="J834" s="257"/>
      <c r="K834" s="257"/>
      <c r="L834" s="257"/>
      <c r="M834" s="257"/>
      <c r="N834" s="257"/>
      <c r="O834" s="257"/>
      <c r="P834" s="257"/>
      <c r="Q834" s="257"/>
      <c r="R834" s="257"/>
      <c r="S834" s="257">
        <v>865.7</v>
      </c>
      <c r="T834" s="257">
        <f>R834+S834</f>
        <v>865.7</v>
      </c>
      <c r="U834" s="257">
        <v>-475.8</v>
      </c>
      <c r="V834" s="257">
        <v>774.9</v>
      </c>
      <c r="W834" s="257">
        <v>-366.5</v>
      </c>
      <c r="X834" s="257">
        <v>0</v>
      </c>
      <c r="Y834" s="257">
        <v>100</v>
      </c>
      <c r="Z834" s="257">
        <f>X834+Y834</f>
        <v>100</v>
      </c>
    </row>
    <row r="835" spans="1:26" ht="49.5" hidden="1" customHeight="1" x14ac:dyDescent="0.2">
      <c r="A835" s="259" t="s">
        <v>1207</v>
      </c>
      <c r="B835" s="271">
        <v>801</v>
      </c>
      <c r="C835" s="252" t="s">
        <v>198</v>
      </c>
      <c r="D835" s="252" t="s">
        <v>192</v>
      </c>
      <c r="E835" s="252" t="s">
        <v>1206</v>
      </c>
      <c r="F835" s="252"/>
      <c r="G835" s="257"/>
      <c r="H835" s="257"/>
      <c r="I835" s="257"/>
      <c r="J835" s="257"/>
      <c r="K835" s="257"/>
      <c r="L835" s="257"/>
      <c r="M835" s="257"/>
      <c r="N835" s="257"/>
      <c r="O835" s="257"/>
      <c r="P835" s="257"/>
      <c r="Q835" s="257"/>
      <c r="R835" s="257" t="e">
        <f>R836+#REF!</f>
        <v>#REF!</v>
      </c>
      <c r="S835" s="257" t="e">
        <f>S836+#REF!</f>
        <v>#REF!</v>
      </c>
      <c r="T835" s="257" t="e">
        <f>T836+#REF!</f>
        <v>#REF!</v>
      </c>
      <c r="U835" s="257" t="e">
        <f>U836+#REF!</f>
        <v>#REF!</v>
      </c>
      <c r="V835" s="257" t="e">
        <f>V836+#REF!</f>
        <v>#REF!</v>
      </c>
      <c r="W835" s="257" t="e">
        <f>W836+#REF!</f>
        <v>#REF!</v>
      </c>
      <c r="X835" s="257">
        <f>X836</f>
        <v>0</v>
      </c>
      <c r="Y835" s="257">
        <f t="shared" ref="Y835:Z835" si="1508">Y836</f>
        <v>0</v>
      </c>
      <c r="Z835" s="257">
        <f t="shared" si="1508"/>
        <v>0</v>
      </c>
    </row>
    <row r="836" spans="1:26" ht="32.25" hidden="1" customHeight="1" x14ac:dyDescent="0.2">
      <c r="A836" s="259" t="s">
        <v>1105</v>
      </c>
      <c r="B836" s="271">
        <v>801</v>
      </c>
      <c r="C836" s="252" t="s">
        <v>198</v>
      </c>
      <c r="D836" s="252" t="s">
        <v>192</v>
      </c>
      <c r="E836" s="252" t="s">
        <v>1206</v>
      </c>
      <c r="F836" s="252" t="s">
        <v>1099</v>
      </c>
      <c r="G836" s="257"/>
      <c r="H836" s="257"/>
      <c r="I836" s="257"/>
      <c r="J836" s="257"/>
      <c r="K836" s="257"/>
      <c r="L836" s="257"/>
      <c r="M836" s="257"/>
      <c r="N836" s="257"/>
      <c r="O836" s="257"/>
      <c r="P836" s="257"/>
      <c r="Q836" s="257"/>
      <c r="R836" s="257"/>
      <c r="S836" s="257">
        <v>500</v>
      </c>
      <c r="T836" s="257">
        <f>R836+S836</f>
        <v>500</v>
      </c>
      <c r="U836" s="257">
        <v>-191.1</v>
      </c>
      <c r="V836" s="257">
        <v>0</v>
      </c>
      <c r="W836" s="257">
        <v>3000</v>
      </c>
      <c r="X836" s="257">
        <v>0</v>
      </c>
      <c r="Y836" s="257">
        <v>0</v>
      </c>
      <c r="Z836" s="257">
        <f>X836+Y836</f>
        <v>0</v>
      </c>
    </row>
    <row r="837" spans="1:26" ht="64.5" customHeight="1" x14ac:dyDescent="0.2">
      <c r="A837" s="259" t="s">
        <v>1106</v>
      </c>
      <c r="B837" s="271">
        <v>801</v>
      </c>
      <c r="C837" s="252" t="s">
        <v>198</v>
      </c>
      <c r="D837" s="252" t="s">
        <v>192</v>
      </c>
      <c r="E837" s="252" t="s">
        <v>1107</v>
      </c>
      <c r="F837" s="252"/>
      <c r="G837" s="257"/>
      <c r="H837" s="257"/>
      <c r="I837" s="257"/>
      <c r="J837" s="257"/>
      <c r="K837" s="257"/>
      <c r="L837" s="257"/>
      <c r="M837" s="257"/>
      <c r="N837" s="257"/>
      <c r="O837" s="257"/>
      <c r="P837" s="257"/>
      <c r="Q837" s="257"/>
      <c r="R837" s="257">
        <f>R838+R839</f>
        <v>0</v>
      </c>
      <c r="S837" s="257">
        <f t="shared" ref="S837:T837" si="1509">S838+S839</f>
        <v>505.05</v>
      </c>
      <c r="T837" s="257">
        <f t="shared" si="1509"/>
        <v>505.05</v>
      </c>
      <c r="U837" s="257">
        <f t="shared" ref="U837:V837" si="1510">U838+U839</f>
        <v>-193.03</v>
      </c>
      <c r="V837" s="257">
        <f t="shared" si="1510"/>
        <v>232.03</v>
      </c>
      <c r="W837" s="257">
        <f t="shared" ref="W837:X837" si="1511">W838+W839</f>
        <v>3233.27</v>
      </c>
      <c r="X837" s="257">
        <f t="shared" si="1511"/>
        <v>1212.1199999999999</v>
      </c>
      <c r="Y837" s="257">
        <f t="shared" ref="Y837:Z837" si="1512">Y838+Y839</f>
        <v>-1212.1199999999999</v>
      </c>
      <c r="Z837" s="257">
        <f t="shared" si="1512"/>
        <v>0</v>
      </c>
    </row>
    <row r="838" spans="1:26" ht="35.25" customHeight="1" x14ac:dyDescent="0.2">
      <c r="A838" s="259" t="s">
        <v>1105</v>
      </c>
      <c r="B838" s="271">
        <v>801</v>
      </c>
      <c r="C838" s="252" t="s">
        <v>198</v>
      </c>
      <c r="D838" s="252" t="s">
        <v>192</v>
      </c>
      <c r="E838" s="252" t="s">
        <v>1107</v>
      </c>
      <c r="F838" s="252" t="s">
        <v>1099</v>
      </c>
      <c r="G838" s="257"/>
      <c r="H838" s="257"/>
      <c r="I838" s="257"/>
      <c r="J838" s="257"/>
      <c r="K838" s="257"/>
      <c r="L838" s="257"/>
      <c r="M838" s="257"/>
      <c r="N838" s="257"/>
      <c r="O838" s="257"/>
      <c r="P838" s="257"/>
      <c r="Q838" s="257"/>
      <c r="R838" s="257"/>
      <c r="S838" s="257">
        <v>500</v>
      </c>
      <c r="T838" s="257">
        <f>R838+S838</f>
        <v>500</v>
      </c>
      <c r="U838" s="257">
        <v>-191.1</v>
      </c>
      <c r="V838" s="257">
        <v>229.7</v>
      </c>
      <c r="W838" s="257">
        <v>3200.9</v>
      </c>
      <c r="X838" s="257">
        <v>1200</v>
      </c>
      <c r="Y838" s="257">
        <v>-1200</v>
      </c>
      <c r="Z838" s="257">
        <f>X838+Y838</f>
        <v>0</v>
      </c>
    </row>
    <row r="839" spans="1:26" ht="31.5" customHeight="1" x14ac:dyDescent="0.2">
      <c r="A839" s="259" t="s">
        <v>1108</v>
      </c>
      <c r="B839" s="271">
        <v>801</v>
      </c>
      <c r="C839" s="252" t="s">
        <v>198</v>
      </c>
      <c r="D839" s="252" t="s">
        <v>192</v>
      </c>
      <c r="E839" s="252" t="s">
        <v>1107</v>
      </c>
      <c r="F839" s="252" t="s">
        <v>1099</v>
      </c>
      <c r="G839" s="257"/>
      <c r="H839" s="257"/>
      <c r="I839" s="257"/>
      <c r="J839" s="257"/>
      <c r="K839" s="257"/>
      <c r="L839" s="257"/>
      <c r="M839" s="257"/>
      <c r="N839" s="257"/>
      <c r="O839" s="257"/>
      <c r="P839" s="257"/>
      <c r="Q839" s="257"/>
      <c r="R839" s="257"/>
      <c r="S839" s="257">
        <v>5.05</v>
      </c>
      <c r="T839" s="257">
        <f>R839+S839</f>
        <v>5.05</v>
      </c>
      <c r="U839" s="257">
        <v>-1.93</v>
      </c>
      <c r="V839" s="257">
        <v>2.33</v>
      </c>
      <c r="W839" s="257">
        <v>32.369999999999997</v>
      </c>
      <c r="X839" s="257">
        <v>12.12</v>
      </c>
      <c r="Y839" s="257">
        <v>-12.12</v>
      </c>
      <c r="Z839" s="257">
        <f>X839+Y839</f>
        <v>0</v>
      </c>
    </row>
    <row r="840" spans="1:26" ht="33" hidden="1" customHeight="1" x14ac:dyDescent="0.2">
      <c r="A840" s="259" t="s">
        <v>1138</v>
      </c>
      <c r="B840" s="271">
        <v>801</v>
      </c>
      <c r="C840" s="252" t="s">
        <v>198</v>
      </c>
      <c r="D840" s="252" t="s">
        <v>192</v>
      </c>
      <c r="E840" s="252" t="s">
        <v>1139</v>
      </c>
      <c r="F840" s="252"/>
      <c r="G840" s="257"/>
      <c r="H840" s="257"/>
      <c r="I840" s="257"/>
      <c r="J840" s="257"/>
      <c r="K840" s="257"/>
      <c r="L840" s="257"/>
      <c r="M840" s="257"/>
      <c r="N840" s="257"/>
      <c r="O840" s="257"/>
      <c r="P840" s="257"/>
      <c r="Q840" s="257"/>
      <c r="R840" s="257">
        <f>R841+R842</f>
        <v>0</v>
      </c>
      <c r="S840" s="257">
        <f t="shared" ref="S840:T840" si="1513">S841+S842</f>
        <v>33437.1</v>
      </c>
      <c r="T840" s="257">
        <f t="shared" si="1513"/>
        <v>0</v>
      </c>
      <c r="U840" s="257">
        <f t="shared" ref="U840:V840" si="1514">U841+U842</f>
        <v>0</v>
      </c>
      <c r="V840" s="257">
        <f t="shared" si="1514"/>
        <v>0</v>
      </c>
      <c r="W840" s="257">
        <f t="shared" ref="W840:X840" si="1515">W841+W842</f>
        <v>0</v>
      </c>
      <c r="X840" s="257">
        <f t="shared" si="1515"/>
        <v>0</v>
      </c>
      <c r="Y840" s="257">
        <f t="shared" ref="Y840:Z840" si="1516">Y841+Y842</f>
        <v>0</v>
      </c>
      <c r="Z840" s="257">
        <f t="shared" si="1516"/>
        <v>0</v>
      </c>
    </row>
    <row r="841" spans="1:26" ht="37.5" hidden="1" customHeight="1" x14ac:dyDescent="0.2">
      <c r="A841" s="259" t="s">
        <v>1066</v>
      </c>
      <c r="B841" s="271">
        <v>801</v>
      </c>
      <c r="C841" s="252" t="s">
        <v>198</v>
      </c>
      <c r="D841" s="252" t="s">
        <v>192</v>
      </c>
      <c r="E841" s="252" t="s">
        <v>1139</v>
      </c>
      <c r="F841" s="252" t="s">
        <v>1067</v>
      </c>
      <c r="G841" s="257"/>
      <c r="H841" s="257"/>
      <c r="I841" s="257"/>
      <c r="J841" s="257"/>
      <c r="K841" s="257"/>
      <c r="L841" s="257"/>
      <c r="M841" s="257"/>
      <c r="N841" s="257"/>
      <c r="O841" s="257"/>
      <c r="P841" s="257"/>
      <c r="Q841" s="257"/>
      <c r="R841" s="257"/>
      <c r="S841" s="257">
        <v>33102.699999999997</v>
      </c>
      <c r="T841" s="257">
        <v>0</v>
      </c>
      <c r="U841" s="257">
        <v>0</v>
      </c>
      <c r="V841" s="257">
        <f>T841+U841</f>
        <v>0</v>
      </c>
      <c r="W841" s="257">
        <v>0</v>
      </c>
      <c r="X841" s="257">
        <f>V841+W841</f>
        <v>0</v>
      </c>
      <c r="Y841" s="257">
        <v>0</v>
      </c>
      <c r="Z841" s="257">
        <f>X841+Y841</f>
        <v>0</v>
      </c>
    </row>
    <row r="842" spans="1:26" ht="33.75" hidden="1" customHeight="1" x14ac:dyDescent="0.2">
      <c r="A842" s="259" t="s">
        <v>1068</v>
      </c>
      <c r="B842" s="271">
        <v>801</v>
      </c>
      <c r="C842" s="252" t="s">
        <v>198</v>
      </c>
      <c r="D842" s="252" t="s">
        <v>192</v>
      </c>
      <c r="E842" s="252" t="s">
        <v>1139</v>
      </c>
      <c r="F842" s="252" t="s">
        <v>1067</v>
      </c>
      <c r="G842" s="257"/>
      <c r="H842" s="257"/>
      <c r="I842" s="257"/>
      <c r="J842" s="257"/>
      <c r="K842" s="257"/>
      <c r="L842" s="257"/>
      <c r="M842" s="257"/>
      <c r="N842" s="257"/>
      <c r="O842" s="257"/>
      <c r="P842" s="257"/>
      <c r="Q842" s="257"/>
      <c r="R842" s="257"/>
      <c r="S842" s="257">
        <v>334.4</v>
      </c>
      <c r="T842" s="257">
        <v>0</v>
      </c>
      <c r="U842" s="257">
        <v>0</v>
      </c>
      <c r="V842" s="257">
        <f>T842+U842</f>
        <v>0</v>
      </c>
      <c r="W842" s="257">
        <v>0</v>
      </c>
      <c r="X842" s="257">
        <f>V842+W842</f>
        <v>0</v>
      </c>
      <c r="Y842" s="257">
        <v>0</v>
      </c>
      <c r="Z842" s="257">
        <f>X842+Y842</f>
        <v>0</v>
      </c>
    </row>
    <row r="843" spans="1:26" s="430" customFormat="1" ht="20.25" hidden="1" customHeight="1" x14ac:dyDescent="0.2">
      <c r="A843" s="462" t="s">
        <v>224</v>
      </c>
      <c r="B843" s="249">
        <v>801</v>
      </c>
      <c r="C843" s="250" t="s">
        <v>198</v>
      </c>
      <c r="D843" s="250" t="s">
        <v>194</v>
      </c>
      <c r="E843" s="250"/>
      <c r="F843" s="250"/>
      <c r="G843" s="275"/>
      <c r="H843" s="275"/>
      <c r="I843" s="275"/>
      <c r="J843" s="275"/>
      <c r="K843" s="275"/>
      <c r="L843" s="275"/>
      <c r="M843" s="275"/>
      <c r="N843" s="275"/>
      <c r="O843" s="275"/>
      <c r="P843" s="275"/>
      <c r="Q843" s="275"/>
      <c r="R843" s="275"/>
      <c r="S843" s="275"/>
      <c r="T843" s="275">
        <f>T844</f>
        <v>0</v>
      </c>
      <c r="U843" s="275">
        <f t="shared" ref="U843:Z843" si="1517">U844</f>
        <v>0</v>
      </c>
      <c r="V843" s="275">
        <f t="shared" si="1517"/>
        <v>0</v>
      </c>
      <c r="W843" s="275">
        <f t="shared" si="1517"/>
        <v>0</v>
      </c>
      <c r="X843" s="275">
        <f t="shared" si="1517"/>
        <v>0</v>
      </c>
      <c r="Y843" s="275">
        <f t="shared" si="1517"/>
        <v>0</v>
      </c>
      <c r="Z843" s="275">
        <f t="shared" si="1517"/>
        <v>0</v>
      </c>
    </row>
    <row r="844" spans="1:26" ht="33.75" hidden="1" customHeight="1" x14ac:dyDescent="0.2">
      <c r="A844" s="259" t="s">
        <v>1148</v>
      </c>
      <c r="B844" s="271">
        <v>801</v>
      </c>
      <c r="C844" s="252" t="s">
        <v>198</v>
      </c>
      <c r="D844" s="252" t="s">
        <v>194</v>
      </c>
      <c r="E844" s="252" t="s">
        <v>1149</v>
      </c>
      <c r="F844" s="252"/>
      <c r="G844" s="257"/>
      <c r="H844" s="257"/>
      <c r="I844" s="257"/>
      <c r="J844" s="257"/>
      <c r="K844" s="257"/>
      <c r="L844" s="257"/>
      <c r="M844" s="257"/>
      <c r="N844" s="257"/>
      <c r="O844" s="257"/>
      <c r="P844" s="257"/>
      <c r="Q844" s="257"/>
      <c r="R844" s="257"/>
      <c r="S844" s="257"/>
      <c r="T844" s="257">
        <f>T845+T846</f>
        <v>0</v>
      </c>
      <c r="U844" s="257">
        <f t="shared" ref="U844:V844" si="1518">U845+U846</f>
        <v>0</v>
      </c>
      <c r="V844" s="257">
        <f t="shared" si="1518"/>
        <v>0</v>
      </c>
      <c r="W844" s="257">
        <f t="shared" ref="W844:X844" si="1519">W845+W846</f>
        <v>0</v>
      </c>
      <c r="X844" s="257">
        <f t="shared" si="1519"/>
        <v>0</v>
      </c>
      <c r="Y844" s="257">
        <f t="shared" ref="Y844:Z844" si="1520">Y845+Y846</f>
        <v>0</v>
      </c>
      <c r="Z844" s="257">
        <f t="shared" si="1520"/>
        <v>0</v>
      </c>
    </row>
    <row r="845" spans="1:26" ht="18.75" hidden="1" customHeight="1" x14ac:dyDescent="0.2">
      <c r="A845" s="259" t="s">
        <v>93</v>
      </c>
      <c r="B845" s="271">
        <v>801</v>
      </c>
      <c r="C845" s="252" t="s">
        <v>198</v>
      </c>
      <c r="D845" s="252" t="s">
        <v>194</v>
      </c>
      <c r="E845" s="252" t="s">
        <v>1149</v>
      </c>
      <c r="F845" s="252" t="s">
        <v>94</v>
      </c>
      <c r="G845" s="257"/>
      <c r="H845" s="257"/>
      <c r="I845" s="257"/>
      <c r="J845" s="257"/>
      <c r="K845" s="257"/>
      <c r="L845" s="257"/>
      <c r="M845" s="257"/>
      <c r="N845" s="257"/>
      <c r="O845" s="257"/>
      <c r="P845" s="257"/>
      <c r="Q845" s="257"/>
      <c r="R845" s="257"/>
      <c r="S845" s="257"/>
      <c r="T845" s="257">
        <v>0</v>
      </c>
      <c r="U845" s="257">
        <v>0</v>
      </c>
      <c r="V845" s="257">
        <f>T845+U845</f>
        <v>0</v>
      </c>
      <c r="W845" s="257">
        <v>0</v>
      </c>
      <c r="X845" s="257">
        <f>V845+W845</f>
        <v>0</v>
      </c>
      <c r="Y845" s="257">
        <v>0</v>
      </c>
      <c r="Z845" s="257">
        <f>X845+Y845</f>
        <v>0</v>
      </c>
    </row>
    <row r="846" spans="1:26" ht="18.75" hidden="1" customHeight="1" x14ac:dyDescent="0.2">
      <c r="A846" s="259" t="s">
        <v>1098</v>
      </c>
      <c r="B846" s="271">
        <v>801</v>
      </c>
      <c r="C846" s="252" t="s">
        <v>198</v>
      </c>
      <c r="D846" s="252" t="s">
        <v>194</v>
      </c>
      <c r="E846" s="252" t="s">
        <v>1149</v>
      </c>
      <c r="F846" s="252" t="s">
        <v>94</v>
      </c>
      <c r="G846" s="257"/>
      <c r="H846" s="257"/>
      <c r="I846" s="257"/>
      <c r="J846" s="257"/>
      <c r="K846" s="257"/>
      <c r="L846" s="257"/>
      <c r="M846" s="257"/>
      <c r="N846" s="257"/>
      <c r="O846" s="257"/>
      <c r="P846" s="257"/>
      <c r="Q846" s="257"/>
      <c r="R846" s="257"/>
      <c r="S846" s="257"/>
      <c r="T846" s="257">
        <v>0</v>
      </c>
      <c r="U846" s="257">
        <v>0</v>
      </c>
      <c r="V846" s="257">
        <f>T846+U846</f>
        <v>0</v>
      </c>
      <c r="W846" s="257">
        <v>0</v>
      </c>
      <c r="X846" s="257">
        <f>V846+W846</f>
        <v>0</v>
      </c>
      <c r="Y846" s="257">
        <v>0</v>
      </c>
      <c r="Z846" s="257">
        <f>X846+Y846</f>
        <v>0</v>
      </c>
    </row>
    <row r="847" spans="1:26" ht="15" customHeight="1" x14ac:dyDescent="0.2">
      <c r="A847" s="268" t="s">
        <v>910</v>
      </c>
      <c r="B847" s="249">
        <v>801</v>
      </c>
      <c r="C847" s="250" t="s">
        <v>202</v>
      </c>
      <c r="D847" s="252"/>
      <c r="E847" s="252"/>
      <c r="F847" s="252"/>
      <c r="G847" s="257"/>
      <c r="H847" s="275">
        <f>H848+H850</f>
        <v>830</v>
      </c>
      <c r="I847" s="275">
        <f>I848+I850</f>
        <v>20</v>
      </c>
      <c r="J847" s="257">
        <f t="shared" si="1487"/>
        <v>850</v>
      </c>
      <c r="K847" s="275">
        <f>K848+K850</f>
        <v>0</v>
      </c>
      <c r="L847" s="257">
        <f>L848+L850</f>
        <v>830</v>
      </c>
      <c r="M847" s="257">
        <f>M848+M850</f>
        <v>830</v>
      </c>
      <c r="N847" s="257">
        <f>N848+N850</f>
        <v>0</v>
      </c>
      <c r="O847" s="257">
        <f t="shared" ref="O847:Q847" si="1521">O848+O850</f>
        <v>830</v>
      </c>
      <c r="P847" s="257">
        <f t="shared" si="1521"/>
        <v>830</v>
      </c>
      <c r="Q847" s="257">
        <f t="shared" si="1521"/>
        <v>0</v>
      </c>
      <c r="R847" s="275" t="e">
        <f>R850+#REF!</f>
        <v>#REF!</v>
      </c>
      <c r="S847" s="275" t="e">
        <f>S850+#REF!</f>
        <v>#REF!</v>
      </c>
      <c r="T847" s="275" t="e">
        <f>T850+#REF!</f>
        <v>#REF!</v>
      </c>
      <c r="U847" s="275">
        <f>U850</f>
        <v>270</v>
      </c>
      <c r="V847" s="275">
        <f t="shared" ref="V847:X847" si="1522">V850</f>
        <v>830</v>
      </c>
      <c r="W847" s="275">
        <f t="shared" si="1522"/>
        <v>-830</v>
      </c>
      <c r="X847" s="275">
        <f t="shared" si="1522"/>
        <v>1400</v>
      </c>
      <c r="Y847" s="275">
        <f t="shared" ref="Y847:Z847" si="1523">Y850</f>
        <v>0</v>
      </c>
      <c r="Z847" s="275">
        <f t="shared" si="1523"/>
        <v>1400</v>
      </c>
    </row>
    <row r="848" spans="1:26" ht="18.75" hidden="1" customHeight="1" x14ac:dyDescent="0.2">
      <c r="A848" s="268" t="s">
        <v>227</v>
      </c>
      <c r="B848" s="249">
        <v>801</v>
      </c>
      <c r="C848" s="250" t="s">
        <v>202</v>
      </c>
      <c r="D848" s="250" t="s">
        <v>190</v>
      </c>
      <c r="E848" s="252"/>
      <c r="F848" s="252"/>
      <c r="G848" s="257"/>
      <c r="H848" s="275">
        <f>H849</f>
        <v>0</v>
      </c>
      <c r="I848" s="275">
        <f>I849</f>
        <v>20</v>
      </c>
      <c r="J848" s="275">
        <f>H848+I848</f>
        <v>20</v>
      </c>
      <c r="K848" s="275">
        <f>K849</f>
        <v>0</v>
      </c>
      <c r="L848" s="275">
        <f>L849</f>
        <v>0</v>
      </c>
      <c r="M848" s="275">
        <f>M849</f>
        <v>0</v>
      </c>
      <c r="N848" s="275">
        <f t="shared" ref="N848:Z848" si="1524">N849</f>
        <v>0</v>
      </c>
      <c r="O848" s="275">
        <f t="shared" si="1524"/>
        <v>0</v>
      </c>
      <c r="P848" s="275">
        <f t="shared" si="1524"/>
        <v>0</v>
      </c>
      <c r="Q848" s="275">
        <f t="shared" si="1524"/>
        <v>0</v>
      </c>
      <c r="R848" s="275">
        <f t="shared" si="1524"/>
        <v>0</v>
      </c>
      <c r="S848" s="275">
        <f t="shared" si="1524"/>
        <v>0</v>
      </c>
      <c r="T848" s="275">
        <f t="shared" si="1524"/>
        <v>0</v>
      </c>
      <c r="U848" s="275">
        <f t="shared" si="1524"/>
        <v>0</v>
      </c>
      <c r="V848" s="275">
        <f t="shared" si="1524"/>
        <v>0</v>
      </c>
      <c r="W848" s="275">
        <f t="shared" si="1524"/>
        <v>0</v>
      </c>
      <c r="X848" s="275">
        <f t="shared" si="1524"/>
        <v>0</v>
      </c>
      <c r="Y848" s="275">
        <f t="shared" si="1524"/>
        <v>0</v>
      </c>
      <c r="Z848" s="275">
        <f t="shared" si="1524"/>
        <v>0</v>
      </c>
    </row>
    <row r="849" spans="1:26" ht="18.75" hidden="1" customHeight="1" x14ac:dyDescent="0.2">
      <c r="A849" s="259" t="s">
        <v>78</v>
      </c>
      <c r="B849" s="271">
        <v>801</v>
      </c>
      <c r="C849" s="252" t="s">
        <v>202</v>
      </c>
      <c r="D849" s="252" t="s">
        <v>190</v>
      </c>
      <c r="E849" s="252" t="s">
        <v>749</v>
      </c>
      <c r="F849" s="252" t="s">
        <v>79</v>
      </c>
      <c r="G849" s="257"/>
      <c r="H849" s="257">
        <v>0</v>
      </c>
      <c r="I849" s="257">
        <v>20</v>
      </c>
      <c r="J849" s="257">
        <f>H849+I849</f>
        <v>20</v>
      </c>
      <c r="K849" s="257">
        <v>0</v>
      </c>
      <c r="L849" s="257">
        <v>0</v>
      </c>
      <c r="M849" s="257">
        <v>0</v>
      </c>
      <c r="N849" s="257">
        <v>0</v>
      </c>
      <c r="O849" s="257">
        <f>M849+N849</f>
        <v>0</v>
      </c>
      <c r="P849" s="257">
        <v>0</v>
      </c>
      <c r="Q849" s="257">
        <v>0</v>
      </c>
      <c r="R849" s="257">
        <f t="shared" si="1494"/>
        <v>0</v>
      </c>
      <c r="S849" s="257">
        <f t="shared" ref="S849" si="1525">Q849+R849</f>
        <v>0</v>
      </c>
      <c r="T849" s="257">
        <f t="shared" ref="T849" si="1526">R849+S849</f>
        <v>0</v>
      </c>
      <c r="U849" s="257">
        <f t="shared" ref="U849" si="1527">S849+T849</f>
        <v>0</v>
      </c>
      <c r="V849" s="257">
        <f t="shared" ref="V849" si="1528">T849+U849</f>
        <v>0</v>
      </c>
      <c r="W849" s="257">
        <f t="shared" ref="W849" si="1529">U849+V849</f>
        <v>0</v>
      </c>
      <c r="X849" s="257">
        <f t="shared" ref="X849" si="1530">V849+W849</f>
        <v>0</v>
      </c>
      <c r="Y849" s="257">
        <f t="shared" ref="Y849" si="1531">W849+X849</f>
        <v>0</v>
      </c>
      <c r="Z849" s="257">
        <f t="shared" ref="Z849" si="1532">X849+Y849</f>
        <v>0</v>
      </c>
    </row>
    <row r="850" spans="1:26" s="430" customFormat="1" ht="15.75" customHeight="1" x14ac:dyDescent="0.2">
      <c r="A850" s="379" t="s">
        <v>228</v>
      </c>
      <c r="B850" s="249">
        <v>801</v>
      </c>
      <c r="C850" s="250" t="s">
        <v>202</v>
      </c>
      <c r="D850" s="250" t="s">
        <v>192</v>
      </c>
      <c r="E850" s="250"/>
      <c r="F850" s="250"/>
      <c r="G850" s="275"/>
      <c r="H850" s="275">
        <f t="shared" ref="H850:W850" si="1533">H851</f>
        <v>830</v>
      </c>
      <c r="I850" s="275">
        <f t="shared" si="1533"/>
        <v>0</v>
      </c>
      <c r="J850" s="275">
        <f t="shared" si="1533"/>
        <v>830</v>
      </c>
      <c r="K850" s="275">
        <f t="shared" si="1533"/>
        <v>0</v>
      </c>
      <c r="L850" s="275">
        <f t="shared" si="1533"/>
        <v>830</v>
      </c>
      <c r="M850" s="275">
        <f t="shared" si="1533"/>
        <v>830</v>
      </c>
      <c r="N850" s="275">
        <f t="shared" si="1533"/>
        <v>0</v>
      </c>
      <c r="O850" s="275">
        <f t="shared" si="1533"/>
        <v>830</v>
      </c>
      <c r="P850" s="275">
        <f t="shared" si="1533"/>
        <v>830</v>
      </c>
      <c r="Q850" s="275">
        <f t="shared" si="1533"/>
        <v>0</v>
      </c>
      <c r="R850" s="275">
        <f t="shared" si="1533"/>
        <v>830</v>
      </c>
      <c r="S850" s="275">
        <f t="shared" si="1533"/>
        <v>370</v>
      </c>
      <c r="T850" s="275">
        <f t="shared" si="1533"/>
        <v>830</v>
      </c>
      <c r="U850" s="275">
        <f t="shared" si="1533"/>
        <v>270</v>
      </c>
      <c r="V850" s="275">
        <f t="shared" si="1533"/>
        <v>830</v>
      </c>
      <c r="W850" s="275">
        <f t="shared" si="1533"/>
        <v>-830</v>
      </c>
      <c r="X850" s="275">
        <f>X851</f>
        <v>1400</v>
      </c>
      <c r="Y850" s="275">
        <f t="shared" ref="Y850:Z850" si="1534">Y851</f>
        <v>0</v>
      </c>
      <c r="Z850" s="275">
        <f t="shared" si="1534"/>
        <v>1400</v>
      </c>
    </row>
    <row r="851" spans="1:26" ht="30" x14ac:dyDescent="0.2">
      <c r="A851" s="273" t="s">
        <v>976</v>
      </c>
      <c r="B851" s="271" t="s">
        <v>146</v>
      </c>
      <c r="C851" s="252" t="s">
        <v>202</v>
      </c>
      <c r="D851" s="252" t="s">
        <v>192</v>
      </c>
      <c r="E851" s="252" t="s">
        <v>784</v>
      </c>
      <c r="F851" s="252" t="s">
        <v>1166</v>
      </c>
      <c r="G851" s="257"/>
      <c r="H851" s="257">
        <v>830</v>
      </c>
      <c r="I851" s="257">
        <v>0</v>
      </c>
      <c r="J851" s="257">
        <f>H851+I851</f>
        <v>830</v>
      </c>
      <c r="K851" s="257">
        <v>0</v>
      </c>
      <c r="L851" s="257">
        <v>830</v>
      </c>
      <c r="M851" s="257">
        <v>830</v>
      </c>
      <c r="N851" s="257">
        <v>0</v>
      </c>
      <c r="O851" s="257">
        <f>M851+N851</f>
        <v>830</v>
      </c>
      <c r="P851" s="257">
        <v>830</v>
      </c>
      <c r="Q851" s="257">
        <v>0</v>
      </c>
      <c r="R851" s="257">
        <f t="shared" si="1494"/>
        <v>830</v>
      </c>
      <c r="S851" s="257">
        <v>370</v>
      </c>
      <c r="T851" s="257">
        <v>830</v>
      </c>
      <c r="U851" s="257">
        <v>270</v>
      </c>
      <c r="V851" s="257">
        <v>830</v>
      </c>
      <c r="W851" s="257">
        <v>-830</v>
      </c>
      <c r="X851" s="257">
        <v>1400</v>
      </c>
      <c r="Y851" s="257">
        <v>0</v>
      </c>
      <c r="Z851" s="257">
        <f t="shared" ref="Z851" si="1535">X851+Y851</f>
        <v>1400</v>
      </c>
    </row>
    <row r="852" spans="1:26" s="430" customFormat="1" ht="14.25" x14ac:dyDescent="0.2">
      <c r="A852" s="462" t="s">
        <v>65</v>
      </c>
      <c r="B852" s="249">
        <v>801</v>
      </c>
      <c r="C852" s="250">
        <v>10</v>
      </c>
      <c r="D852" s="250"/>
      <c r="E852" s="250"/>
      <c r="F852" s="250"/>
      <c r="G852" s="275"/>
      <c r="H852" s="275" t="e">
        <f>H853+H857+#REF!</f>
        <v>#REF!</v>
      </c>
      <c r="I852" s="275" t="e">
        <f>I853+I857+#REF!</f>
        <v>#REF!</v>
      </c>
      <c r="J852" s="275" t="e">
        <f>J853+J857+#REF!</f>
        <v>#REF!</v>
      </c>
      <c r="K852" s="275" t="e">
        <f>K853+K857+#REF!</f>
        <v>#REF!</v>
      </c>
      <c r="L852" s="275" t="e">
        <f>L853+L857</f>
        <v>#REF!</v>
      </c>
      <c r="M852" s="275" t="e">
        <f>M853+M857+#REF!</f>
        <v>#REF!</v>
      </c>
      <c r="N852" s="275" t="e">
        <f>N853+N857+#REF!</f>
        <v>#REF!</v>
      </c>
      <c r="O852" s="275" t="e">
        <f>O853+O857+#REF!</f>
        <v>#REF!</v>
      </c>
      <c r="P852" s="275" t="e">
        <f>P853+P857+#REF!</f>
        <v>#REF!</v>
      </c>
      <c r="Q852" s="275" t="e">
        <f>Q853+Q857+#REF!</f>
        <v>#REF!</v>
      </c>
      <c r="R852" s="275" t="e">
        <f>R853+R857+#REF!</f>
        <v>#REF!</v>
      </c>
      <c r="S852" s="275">
        <f t="shared" ref="S852:X852" si="1536">S853+S857</f>
        <v>-2798.9</v>
      </c>
      <c r="T852" s="275">
        <f t="shared" si="1536"/>
        <v>2432.4</v>
      </c>
      <c r="U852" s="275">
        <f t="shared" si="1536"/>
        <v>-1113.8999999999999</v>
      </c>
      <c r="V852" s="275">
        <f t="shared" si="1536"/>
        <v>1301.2</v>
      </c>
      <c r="W852" s="275">
        <f t="shared" si="1536"/>
        <v>-55.5</v>
      </c>
      <c r="X852" s="275">
        <f t="shared" si="1536"/>
        <v>4548.3700000000008</v>
      </c>
      <c r="Y852" s="275">
        <f t="shared" ref="Y852:Z852" si="1537">Y853+Y857</f>
        <v>-1343.4699999999998</v>
      </c>
      <c r="Z852" s="275">
        <f t="shared" si="1537"/>
        <v>3204.9</v>
      </c>
    </row>
    <row r="853" spans="1:26" ht="13.5" customHeight="1" x14ac:dyDescent="0.2">
      <c r="A853" s="462" t="s">
        <v>275</v>
      </c>
      <c r="B853" s="249">
        <v>801</v>
      </c>
      <c r="C853" s="250">
        <v>10</v>
      </c>
      <c r="D853" s="250" t="s">
        <v>190</v>
      </c>
      <c r="E853" s="250"/>
      <c r="F853" s="250"/>
      <c r="G853" s="257" t="e">
        <f>#REF!+G854</f>
        <v>#REF!</v>
      </c>
      <c r="H853" s="257">
        <f>H854</f>
        <v>303.05</v>
      </c>
      <c r="I853" s="257">
        <f>I854</f>
        <v>0</v>
      </c>
      <c r="J853" s="257">
        <f>H853+I853</f>
        <v>303.05</v>
      </c>
      <c r="K853" s="257">
        <f t="shared" ref="K853:Z853" si="1538">K854</f>
        <v>0</v>
      </c>
      <c r="L853" s="275">
        <f t="shared" si="1538"/>
        <v>303.05</v>
      </c>
      <c r="M853" s="275">
        <f t="shared" si="1538"/>
        <v>303.05</v>
      </c>
      <c r="N853" s="275">
        <f t="shared" si="1538"/>
        <v>57.95</v>
      </c>
      <c r="O853" s="275">
        <f t="shared" si="1538"/>
        <v>361</v>
      </c>
      <c r="P853" s="275">
        <f t="shared" si="1538"/>
        <v>361</v>
      </c>
      <c r="Q853" s="275">
        <f t="shared" si="1538"/>
        <v>22</v>
      </c>
      <c r="R853" s="275">
        <f t="shared" si="1538"/>
        <v>383</v>
      </c>
      <c r="S853" s="275">
        <f t="shared" si="1538"/>
        <v>17</v>
      </c>
      <c r="T853" s="275">
        <f t="shared" si="1538"/>
        <v>383</v>
      </c>
      <c r="U853" s="275">
        <f t="shared" si="1538"/>
        <v>17</v>
      </c>
      <c r="V853" s="275">
        <f t="shared" si="1538"/>
        <v>400</v>
      </c>
      <c r="W853" s="275">
        <f t="shared" si="1538"/>
        <v>20</v>
      </c>
      <c r="X853" s="275">
        <f t="shared" si="1538"/>
        <v>420</v>
      </c>
      <c r="Y853" s="275">
        <f t="shared" si="1538"/>
        <v>275</v>
      </c>
      <c r="Z853" s="275">
        <f t="shared" si="1538"/>
        <v>695</v>
      </c>
    </row>
    <row r="854" spans="1:26" ht="16.5" customHeight="1" x14ac:dyDescent="0.2">
      <c r="A854" s="259" t="s">
        <v>470</v>
      </c>
      <c r="B854" s="271">
        <v>801</v>
      </c>
      <c r="C854" s="252">
        <v>10</v>
      </c>
      <c r="D854" s="252" t="s">
        <v>190</v>
      </c>
      <c r="E854" s="251" t="s">
        <v>794</v>
      </c>
      <c r="F854" s="252"/>
      <c r="G854" s="257"/>
      <c r="H854" s="257">
        <f>H856</f>
        <v>303.05</v>
      </c>
      <c r="I854" s="257">
        <f>I856</f>
        <v>0</v>
      </c>
      <c r="J854" s="257">
        <f>H854+I854</f>
        <v>303.05</v>
      </c>
      <c r="K854" s="257">
        <f t="shared" ref="K854:W854" si="1539">K856</f>
        <v>0</v>
      </c>
      <c r="L854" s="257">
        <f t="shared" si="1539"/>
        <v>303.05</v>
      </c>
      <c r="M854" s="257">
        <f t="shared" si="1539"/>
        <v>303.05</v>
      </c>
      <c r="N854" s="257">
        <f t="shared" si="1539"/>
        <v>57.95</v>
      </c>
      <c r="O854" s="257">
        <f t="shared" si="1539"/>
        <v>361</v>
      </c>
      <c r="P854" s="257">
        <f t="shared" si="1539"/>
        <v>361</v>
      </c>
      <c r="Q854" s="257">
        <f t="shared" si="1539"/>
        <v>22</v>
      </c>
      <c r="R854" s="257">
        <f t="shared" si="1539"/>
        <v>383</v>
      </c>
      <c r="S854" s="257">
        <f t="shared" si="1539"/>
        <v>17</v>
      </c>
      <c r="T854" s="257">
        <f t="shared" si="1539"/>
        <v>383</v>
      </c>
      <c r="U854" s="257">
        <f t="shared" si="1539"/>
        <v>17</v>
      </c>
      <c r="V854" s="257">
        <f t="shared" si="1539"/>
        <v>400</v>
      </c>
      <c r="W854" s="257">
        <f t="shared" si="1539"/>
        <v>20</v>
      </c>
      <c r="X854" s="257">
        <f>X856+X855</f>
        <v>420</v>
      </c>
      <c r="Y854" s="257">
        <f t="shared" ref="Y854:Z854" si="1540">Y856+Y855</f>
        <v>275</v>
      </c>
      <c r="Z854" s="257">
        <f t="shared" si="1540"/>
        <v>695</v>
      </c>
    </row>
    <row r="855" spans="1:26" ht="16.5" customHeight="1" x14ac:dyDescent="0.2">
      <c r="A855" s="259" t="s">
        <v>1307</v>
      </c>
      <c r="B855" s="271">
        <v>801</v>
      </c>
      <c r="C855" s="252">
        <v>10</v>
      </c>
      <c r="D855" s="252" t="s">
        <v>190</v>
      </c>
      <c r="E855" s="251" t="s">
        <v>794</v>
      </c>
      <c r="F855" s="252" t="s">
        <v>1306</v>
      </c>
      <c r="G855" s="257"/>
      <c r="H855" s="257">
        <v>303.05</v>
      </c>
      <c r="I855" s="257">
        <v>0</v>
      </c>
      <c r="J855" s="257">
        <f>H855+I855</f>
        <v>303.05</v>
      </c>
      <c r="K855" s="257">
        <v>0</v>
      </c>
      <c r="L855" s="257">
        <v>303.05</v>
      </c>
      <c r="M855" s="257">
        <v>303.05</v>
      </c>
      <c r="N855" s="257">
        <v>57.95</v>
      </c>
      <c r="O855" s="257">
        <f>M855+N855</f>
        <v>361</v>
      </c>
      <c r="P855" s="257">
        <v>361</v>
      </c>
      <c r="Q855" s="257">
        <v>22</v>
      </c>
      <c r="R855" s="257">
        <f t="shared" ref="R855" si="1541">P855+Q855</f>
        <v>383</v>
      </c>
      <c r="S855" s="257">
        <v>17</v>
      </c>
      <c r="T855" s="257">
        <v>383</v>
      </c>
      <c r="U855" s="257">
        <v>17</v>
      </c>
      <c r="V855" s="257">
        <v>400</v>
      </c>
      <c r="W855" s="257">
        <v>20</v>
      </c>
      <c r="X855" s="257">
        <v>0</v>
      </c>
      <c r="Y855" s="257">
        <v>695</v>
      </c>
      <c r="Z855" s="257">
        <f t="shared" ref="Z855" si="1542">X855+Y855</f>
        <v>695</v>
      </c>
    </row>
    <row r="856" spans="1:26" x14ac:dyDescent="0.2">
      <c r="A856" s="259" t="s">
        <v>341</v>
      </c>
      <c r="B856" s="271">
        <v>801</v>
      </c>
      <c r="C856" s="252">
        <v>10</v>
      </c>
      <c r="D856" s="252" t="s">
        <v>190</v>
      </c>
      <c r="E856" s="251" t="s">
        <v>794</v>
      </c>
      <c r="F856" s="252" t="s">
        <v>342</v>
      </c>
      <c r="G856" s="257"/>
      <c r="H856" s="257">
        <v>303.05</v>
      </c>
      <c r="I856" s="257">
        <v>0</v>
      </c>
      <c r="J856" s="257">
        <f>H856+I856</f>
        <v>303.05</v>
      </c>
      <c r="K856" s="257">
        <v>0</v>
      </c>
      <c r="L856" s="257">
        <v>303.05</v>
      </c>
      <c r="M856" s="257">
        <v>303.05</v>
      </c>
      <c r="N856" s="257">
        <v>57.95</v>
      </c>
      <c r="O856" s="257">
        <f>M856+N856</f>
        <v>361</v>
      </c>
      <c r="P856" s="257">
        <v>361</v>
      </c>
      <c r="Q856" s="257">
        <v>22</v>
      </c>
      <c r="R856" s="257">
        <f t="shared" si="1494"/>
        <v>383</v>
      </c>
      <c r="S856" s="257">
        <v>17</v>
      </c>
      <c r="T856" s="257">
        <v>383</v>
      </c>
      <c r="U856" s="257">
        <v>17</v>
      </c>
      <c r="V856" s="257">
        <v>400</v>
      </c>
      <c r="W856" s="257">
        <v>20</v>
      </c>
      <c r="X856" s="257">
        <f t="shared" ref="X856" si="1543">V856+W856</f>
        <v>420</v>
      </c>
      <c r="Y856" s="257">
        <v>-420</v>
      </c>
      <c r="Z856" s="257">
        <f t="shared" ref="Z856" si="1544">X856+Y856</f>
        <v>0</v>
      </c>
    </row>
    <row r="857" spans="1:26" x14ac:dyDescent="0.2">
      <c r="A857" s="462" t="s">
        <v>277</v>
      </c>
      <c r="B857" s="249">
        <v>801</v>
      </c>
      <c r="C857" s="250">
        <v>10</v>
      </c>
      <c r="D857" s="250" t="s">
        <v>194</v>
      </c>
      <c r="E857" s="250"/>
      <c r="F857" s="250"/>
      <c r="G857" s="257" t="e">
        <f>#REF!+#REF!+G858+#REF!</f>
        <v>#REF!</v>
      </c>
      <c r="H857" s="275" t="e">
        <f>H858</f>
        <v>#REF!</v>
      </c>
      <c r="I857" s="275" t="e">
        <f>I858</f>
        <v>#REF!</v>
      </c>
      <c r="J857" s="275" t="e">
        <f>J858</f>
        <v>#REF!</v>
      </c>
      <c r="K857" s="275" t="e">
        <f>K858+#REF!</f>
        <v>#REF!</v>
      </c>
      <c r="L857" s="275" t="e">
        <f>L858+#REF!</f>
        <v>#REF!</v>
      </c>
      <c r="M857" s="275" t="e">
        <f>M858+#REF!</f>
        <v>#REF!</v>
      </c>
      <c r="N857" s="275" t="e">
        <f>N858+#REF!</f>
        <v>#REF!</v>
      </c>
      <c r="O857" s="275" t="e">
        <f>O858+#REF!</f>
        <v>#REF!</v>
      </c>
      <c r="P857" s="275" t="e">
        <f>P858+#REF!</f>
        <v>#REF!</v>
      </c>
      <c r="Q857" s="275" t="e">
        <f>Q858+#REF!</f>
        <v>#REF!</v>
      </c>
      <c r="R857" s="275">
        <f>R858</f>
        <v>4981.8</v>
      </c>
      <c r="S857" s="275">
        <f t="shared" ref="S857:W857" si="1545">S858</f>
        <v>-2815.9</v>
      </c>
      <c r="T857" s="275">
        <f t="shared" si="1545"/>
        <v>2049.4</v>
      </c>
      <c r="U857" s="275">
        <f t="shared" si="1545"/>
        <v>-1130.8999999999999</v>
      </c>
      <c r="V857" s="275">
        <f t="shared" si="1545"/>
        <v>901.2</v>
      </c>
      <c r="W857" s="275">
        <f t="shared" si="1545"/>
        <v>-75.5</v>
      </c>
      <c r="X857" s="275">
        <f>X858</f>
        <v>4128.3700000000008</v>
      </c>
      <c r="Y857" s="275">
        <f t="shared" ref="Y857:Z857" si="1546">Y858</f>
        <v>-1618.4699999999998</v>
      </c>
      <c r="Z857" s="275">
        <f t="shared" si="1546"/>
        <v>2509.9</v>
      </c>
    </row>
    <row r="858" spans="1:26" ht="31.5" customHeight="1" x14ac:dyDescent="0.2">
      <c r="A858" s="259" t="s">
        <v>996</v>
      </c>
      <c r="B858" s="271">
        <v>801</v>
      </c>
      <c r="C858" s="252" t="s">
        <v>214</v>
      </c>
      <c r="D858" s="252" t="s">
        <v>194</v>
      </c>
      <c r="E858" s="252" t="s">
        <v>865</v>
      </c>
      <c r="F858" s="252"/>
      <c r="G858" s="257" t="e">
        <f>#REF!+G861+G864+G866</f>
        <v>#REF!</v>
      </c>
      <c r="H858" s="257" t="e">
        <f>#REF!+H861+H864+H866+#REF!</f>
        <v>#REF!</v>
      </c>
      <c r="I858" s="257" t="e">
        <f>#REF!+I861+I864+I866+#REF!</f>
        <v>#REF!</v>
      </c>
      <c r="J858" s="257" t="e">
        <f>#REF!+J861+J864+J866+#REF!</f>
        <v>#REF!</v>
      </c>
      <c r="K858" s="257" t="e">
        <f>#REF!+K861+K864+K866+#REF!+K862</f>
        <v>#REF!</v>
      </c>
      <c r="L858" s="257" t="e">
        <f>L860+L861+L864+#REF!+#REF!</f>
        <v>#REF!</v>
      </c>
      <c r="M858" s="257" t="e">
        <f>M860+M861+M864+#REF!+#REF!</f>
        <v>#REF!</v>
      </c>
      <c r="N858" s="257" t="e">
        <f>N860+N861+N864+#REF!+#REF!</f>
        <v>#REF!</v>
      </c>
      <c r="O858" s="257" t="e">
        <f>O860+O861+O864+#REF!+#REF!</f>
        <v>#REF!</v>
      </c>
      <c r="P858" s="257" t="e">
        <f>P860+P861+P864+#REF!+#REF!</f>
        <v>#REF!</v>
      </c>
      <c r="Q858" s="257" t="e">
        <f>Q860+Q861+Q864+#REF!+#REF!</f>
        <v>#REF!</v>
      </c>
      <c r="R858" s="257">
        <f>R860+R861+R864</f>
        <v>4981.8</v>
      </c>
      <c r="S858" s="257">
        <f t="shared" ref="S858:T858" si="1547">S860+S861+S864</f>
        <v>-2815.9</v>
      </c>
      <c r="T858" s="257">
        <f t="shared" si="1547"/>
        <v>2049.4</v>
      </c>
      <c r="U858" s="257">
        <f t="shared" ref="U858:V858" si="1548">U860+U861+U864</f>
        <v>-1130.8999999999999</v>
      </c>
      <c r="V858" s="257">
        <f t="shared" si="1548"/>
        <v>901.2</v>
      </c>
      <c r="W858" s="257">
        <f t="shared" ref="W858" si="1549">W860+W861+W864</f>
        <v>-75.5</v>
      </c>
      <c r="X858" s="257">
        <f>X860+X861+X864+X869</f>
        <v>4128.3700000000008</v>
      </c>
      <c r="Y858" s="257">
        <f>Y860+Y861+Y864+Y869</f>
        <v>-1618.4699999999998</v>
      </c>
      <c r="Z858" s="257">
        <f>Z860+Z861+Z864+Z869</f>
        <v>2509.9</v>
      </c>
    </row>
    <row r="859" spans="1:26" ht="17.25" hidden="1" customHeight="1" x14ac:dyDescent="0.2">
      <c r="A859" s="259" t="s">
        <v>724</v>
      </c>
      <c r="B859" s="271">
        <v>801</v>
      </c>
      <c r="C859" s="252" t="s">
        <v>494</v>
      </c>
      <c r="D859" s="252" t="s">
        <v>194</v>
      </c>
      <c r="E859" s="252" t="s">
        <v>793</v>
      </c>
      <c r="F859" s="252" t="s">
        <v>94</v>
      </c>
      <c r="G859" s="257"/>
      <c r="H859" s="257">
        <v>400</v>
      </c>
      <c r="I859" s="257">
        <v>-363.1</v>
      </c>
      <c r="J859" s="257">
        <f t="shared" ref="J859:J867" si="1550">H859+I859</f>
        <v>36.899999999999977</v>
      </c>
      <c r="K859" s="257">
        <v>0</v>
      </c>
      <c r="L859" s="257">
        <v>0</v>
      </c>
      <c r="M859" s="257">
        <v>0</v>
      </c>
      <c r="N859" s="257">
        <v>0</v>
      </c>
      <c r="O859" s="257">
        <v>0</v>
      </c>
      <c r="P859" s="257">
        <v>0</v>
      </c>
      <c r="Q859" s="257">
        <v>0</v>
      </c>
      <c r="R859" s="257">
        <f t="shared" si="1494"/>
        <v>0</v>
      </c>
      <c r="S859" s="257">
        <f t="shared" ref="S859:S863" si="1551">Q859+R859</f>
        <v>0</v>
      </c>
      <c r="T859" s="257">
        <f t="shared" ref="T859:T863" si="1552">R859+S859</f>
        <v>0</v>
      </c>
      <c r="U859" s="257">
        <f t="shared" ref="U859" si="1553">S859+T859</f>
        <v>0</v>
      </c>
      <c r="V859" s="257">
        <f t="shared" ref="V859:V863" si="1554">T859+U859</f>
        <v>0</v>
      </c>
      <c r="W859" s="257">
        <f t="shared" ref="W859" si="1555">U859+V859</f>
        <v>0</v>
      </c>
      <c r="X859" s="257">
        <f t="shared" ref="X859:X863" si="1556">V859+W859</f>
        <v>0</v>
      </c>
      <c r="Y859" s="257">
        <f t="shared" ref="Y859" si="1557">W859+X859</f>
        <v>0</v>
      </c>
      <c r="Z859" s="257">
        <f t="shared" ref="Z859:Z863" si="1558">X859+Y859</f>
        <v>0</v>
      </c>
    </row>
    <row r="860" spans="1:26" ht="18.75" customHeight="1" x14ac:dyDescent="0.2">
      <c r="A860" s="259" t="s">
        <v>724</v>
      </c>
      <c r="B860" s="271">
        <v>801</v>
      </c>
      <c r="C860" s="252" t="s">
        <v>494</v>
      </c>
      <c r="D860" s="252" t="s">
        <v>194</v>
      </c>
      <c r="E860" s="252" t="s">
        <v>793</v>
      </c>
      <c r="F860" s="252" t="s">
        <v>137</v>
      </c>
      <c r="G860" s="257"/>
      <c r="H860" s="257">
        <v>0</v>
      </c>
      <c r="I860" s="257">
        <v>363.1</v>
      </c>
      <c r="J860" s="257">
        <f t="shared" si="1550"/>
        <v>363.1</v>
      </c>
      <c r="K860" s="257">
        <v>0</v>
      </c>
      <c r="L860" s="257">
        <v>400</v>
      </c>
      <c r="M860" s="257">
        <v>400</v>
      </c>
      <c r="N860" s="257">
        <v>0</v>
      </c>
      <c r="O860" s="257">
        <f>M860+N860</f>
        <v>400</v>
      </c>
      <c r="P860" s="257">
        <v>400</v>
      </c>
      <c r="Q860" s="257">
        <v>0</v>
      </c>
      <c r="R860" s="257">
        <f t="shared" si="1494"/>
        <v>400</v>
      </c>
      <c r="S860" s="257">
        <v>-100</v>
      </c>
      <c r="T860" s="257">
        <v>400</v>
      </c>
      <c r="U860" s="257">
        <v>0</v>
      </c>
      <c r="V860" s="257">
        <v>400</v>
      </c>
      <c r="W860" s="257">
        <v>0</v>
      </c>
      <c r="X860" s="257">
        <f t="shared" si="1556"/>
        <v>400</v>
      </c>
      <c r="Y860" s="257">
        <v>0</v>
      </c>
      <c r="Z860" s="257">
        <f t="shared" si="1558"/>
        <v>400</v>
      </c>
    </row>
    <row r="861" spans="1:26" ht="17.25" customHeight="1" x14ac:dyDescent="0.2">
      <c r="A861" s="259" t="s">
        <v>738</v>
      </c>
      <c r="B861" s="271">
        <v>801</v>
      </c>
      <c r="C861" s="252" t="s">
        <v>494</v>
      </c>
      <c r="D861" s="252" t="s">
        <v>194</v>
      </c>
      <c r="E861" s="252" t="s">
        <v>792</v>
      </c>
      <c r="F861" s="252" t="s">
        <v>94</v>
      </c>
      <c r="G861" s="257"/>
      <c r="H861" s="257">
        <v>100</v>
      </c>
      <c r="I861" s="257">
        <v>0</v>
      </c>
      <c r="J861" s="257">
        <f t="shared" si="1550"/>
        <v>100</v>
      </c>
      <c r="K861" s="257">
        <v>0</v>
      </c>
      <c r="L861" s="257">
        <v>100</v>
      </c>
      <c r="M861" s="257">
        <v>100</v>
      </c>
      <c r="N861" s="257">
        <v>0</v>
      </c>
      <c r="O861" s="257">
        <f t="shared" ref="O861:O863" si="1559">M861+N861</f>
        <v>100</v>
      </c>
      <c r="P861" s="257">
        <v>100</v>
      </c>
      <c r="Q861" s="257">
        <v>0</v>
      </c>
      <c r="R861" s="257">
        <f t="shared" si="1494"/>
        <v>100</v>
      </c>
      <c r="S861" s="257">
        <v>-50</v>
      </c>
      <c r="T861" s="257">
        <v>100</v>
      </c>
      <c r="U861" s="257">
        <v>0</v>
      </c>
      <c r="V861" s="257">
        <v>100</v>
      </c>
      <c r="W861" s="257">
        <v>50</v>
      </c>
      <c r="X861" s="257">
        <v>100</v>
      </c>
      <c r="Y861" s="257">
        <v>0</v>
      </c>
      <c r="Z861" s="257">
        <f t="shared" si="1558"/>
        <v>100</v>
      </c>
    </row>
    <row r="862" spans="1:26" ht="17.25" hidden="1" customHeight="1" x14ac:dyDescent="0.2">
      <c r="A862" s="259" t="s">
        <v>931</v>
      </c>
      <c r="B862" s="271">
        <v>801</v>
      </c>
      <c r="C862" s="252">
        <v>10</v>
      </c>
      <c r="D862" s="252" t="s">
        <v>194</v>
      </c>
      <c r="E862" s="252" t="s">
        <v>930</v>
      </c>
      <c r="F862" s="252"/>
      <c r="G862" s="257"/>
      <c r="H862" s="257">
        <f>H863</f>
        <v>780.7</v>
      </c>
      <c r="I862" s="257">
        <f>I863</f>
        <v>0</v>
      </c>
      <c r="J862" s="257">
        <v>0</v>
      </c>
      <c r="K862" s="257">
        <f>K863</f>
        <v>1516.768</v>
      </c>
      <c r="L862" s="257">
        <f>L863</f>
        <v>0</v>
      </c>
      <c r="M862" s="257">
        <f>M863</f>
        <v>0</v>
      </c>
      <c r="N862" s="257">
        <f t="shared" ref="N862:Q862" si="1560">N863</f>
        <v>1</v>
      </c>
      <c r="O862" s="257">
        <f t="shared" si="1559"/>
        <v>1</v>
      </c>
      <c r="P862" s="257">
        <f t="shared" si="1560"/>
        <v>3</v>
      </c>
      <c r="Q862" s="257">
        <f t="shared" si="1560"/>
        <v>4</v>
      </c>
      <c r="R862" s="257">
        <f t="shared" si="1494"/>
        <v>7</v>
      </c>
      <c r="S862" s="257">
        <f t="shared" si="1551"/>
        <v>11</v>
      </c>
      <c r="T862" s="257">
        <f t="shared" si="1552"/>
        <v>18</v>
      </c>
      <c r="U862" s="257">
        <f t="shared" ref="U862:U863" si="1561">S862+T862</f>
        <v>29</v>
      </c>
      <c r="V862" s="257">
        <f t="shared" si="1554"/>
        <v>47</v>
      </c>
      <c r="W862" s="257">
        <f t="shared" ref="W862:W863" si="1562">U862+V862</f>
        <v>76</v>
      </c>
      <c r="X862" s="257">
        <f t="shared" si="1556"/>
        <v>123</v>
      </c>
      <c r="Y862" s="257">
        <f t="shared" ref="Y862:Y863" si="1563">W862+X862</f>
        <v>199</v>
      </c>
      <c r="Z862" s="257">
        <f t="shared" si="1558"/>
        <v>322</v>
      </c>
    </row>
    <row r="863" spans="1:26" ht="17.25" hidden="1" customHeight="1" x14ac:dyDescent="0.2">
      <c r="A863" s="259" t="s">
        <v>304</v>
      </c>
      <c r="B863" s="271">
        <v>801</v>
      </c>
      <c r="C863" s="252">
        <v>10</v>
      </c>
      <c r="D863" s="252" t="s">
        <v>194</v>
      </c>
      <c r="E863" s="252" t="s">
        <v>930</v>
      </c>
      <c r="F863" s="252" t="s">
        <v>305</v>
      </c>
      <c r="G863" s="257"/>
      <c r="H863" s="257">
        <v>780.7</v>
      </c>
      <c r="I863" s="257">
        <v>0</v>
      </c>
      <c r="J863" s="257">
        <v>0</v>
      </c>
      <c r="K863" s="257">
        <v>1516.768</v>
      </c>
      <c r="L863" s="257">
        <v>0</v>
      </c>
      <c r="M863" s="257">
        <v>0</v>
      </c>
      <c r="N863" s="257">
        <v>1</v>
      </c>
      <c r="O863" s="257">
        <f t="shared" si="1559"/>
        <v>1</v>
      </c>
      <c r="P863" s="257">
        <v>3</v>
      </c>
      <c r="Q863" s="257">
        <v>4</v>
      </c>
      <c r="R863" s="257">
        <f t="shared" si="1494"/>
        <v>7</v>
      </c>
      <c r="S863" s="257">
        <f t="shared" si="1551"/>
        <v>11</v>
      </c>
      <c r="T863" s="257">
        <f t="shared" si="1552"/>
        <v>18</v>
      </c>
      <c r="U863" s="257">
        <f t="shared" si="1561"/>
        <v>29</v>
      </c>
      <c r="V863" s="257">
        <f t="shared" si="1554"/>
        <v>47</v>
      </c>
      <c r="W863" s="257">
        <f t="shared" si="1562"/>
        <v>76</v>
      </c>
      <c r="X863" s="257">
        <f t="shared" si="1556"/>
        <v>123</v>
      </c>
      <c r="Y863" s="257">
        <f t="shared" si="1563"/>
        <v>199</v>
      </c>
      <c r="Z863" s="257">
        <f t="shared" si="1558"/>
        <v>322</v>
      </c>
    </row>
    <row r="864" spans="1:26" ht="32.25" customHeight="1" x14ac:dyDescent="0.2">
      <c r="A864" s="259" t="s">
        <v>1202</v>
      </c>
      <c r="B864" s="271">
        <v>801</v>
      </c>
      <c r="C864" s="252">
        <v>10</v>
      </c>
      <c r="D864" s="252" t="s">
        <v>194</v>
      </c>
      <c r="E864" s="252" t="s">
        <v>1140</v>
      </c>
      <c r="F864" s="252"/>
      <c r="G864" s="257"/>
      <c r="H864" s="257">
        <f>H865</f>
        <v>780.7</v>
      </c>
      <c r="I864" s="257">
        <f>I865</f>
        <v>0</v>
      </c>
      <c r="J864" s="257">
        <f t="shared" si="1550"/>
        <v>780.7</v>
      </c>
      <c r="K864" s="257">
        <f>K865</f>
        <v>-4.29</v>
      </c>
      <c r="L864" s="257">
        <f>L865</f>
        <v>448</v>
      </c>
      <c r="M864" s="257">
        <f>M865</f>
        <v>448</v>
      </c>
      <c r="N864" s="257">
        <f t="shared" ref="N864:Q864" si="1564">N865</f>
        <v>3607.7</v>
      </c>
      <c r="O864" s="257">
        <f t="shared" si="1564"/>
        <v>4055.7</v>
      </c>
      <c r="P864" s="257">
        <f t="shared" si="1564"/>
        <v>5121.7</v>
      </c>
      <c r="Q864" s="257">
        <f t="shared" si="1564"/>
        <v>-639.9</v>
      </c>
      <c r="R864" s="257">
        <f>R865+R868</f>
        <v>4481.8</v>
      </c>
      <c r="S864" s="257">
        <f t="shared" ref="S864:T864" si="1565">S865+S868</f>
        <v>-2665.9</v>
      </c>
      <c r="T864" s="257">
        <f t="shared" si="1565"/>
        <v>1549.4</v>
      </c>
      <c r="U864" s="257">
        <f t="shared" ref="U864:V864" si="1566">U865+U868</f>
        <v>-1130.8999999999999</v>
      </c>
      <c r="V864" s="257">
        <f t="shared" si="1566"/>
        <v>401.20000000000005</v>
      </c>
      <c r="W864" s="257">
        <f>W865+W868</f>
        <v>-125.5</v>
      </c>
      <c r="X864" s="257">
        <f t="shared" ref="X864:Z864" si="1567">X865+X868</f>
        <v>1657.27</v>
      </c>
      <c r="Y864" s="257">
        <f>Y865+Y868</f>
        <v>-1657.27</v>
      </c>
      <c r="Z864" s="257">
        <f t="shared" si="1567"/>
        <v>0</v>
      </c>
    </row>
    <row r="865" spans="1:26" ht="15" customHeight="1" x14ac:dyDescent="0.2">
      <c r="A865" s="259" t="s">
        <v>304</v>
      </c>
      <c r="B865" s="271">
        <v>801</v>
      </c>
      <c r="C865" s="252">
        <v>10</v>
      </c>
      <c r="D865" s="252" t="s">
        <v>194</v>
      </c>
      <c r="E865" s="252" t="s">
        <v>1140</v>
      </c>
      <c r="F865" s="252" t="s">
        <v>305</v>
      </c>
      <c r="G865" s="257"/>
      <c r="H865" s="257">
        <v>780.7</v>
      </c>
      <c r="I865" s="257">
        <v>0</v>
      </c>
      <c r="J865" s="257">
        <f t="shared" si="1550"/>
        <v>780.7</v>
      </c>
      <c r="K865" s="257">
        <v>-4.29</v>
      </c>
      <c r="L865" s="257">
        <v>448</v>
      </c>
      <c r="M865" s="257">
        <v>448</v>
      </c>
      <c r="N865" s="257">
        <v>3607.7</v>
      </c>
      <c r="O865" s="257">
        <f>M865+N865</f>
        <v>4055.7</v>
      </c>
      <c r="P865" s="257">
        <v>5121.7</v>
      </c>
      <c r="Q865" s="257">
        <v>-639.9</v>
      </c>
      <c r="R865" s="257">
        <f t="shared" si="1494"/>
        <v>4481.8</v>
      </c>
      <c r="S865" s="257">
        <v>-2684.1</v>
      </c>
      <c r="T865" s="257">
        <v>1533.9</v>
      </c>
      <c r="U865" s="257">
        <v>-1119.5999999999999</v>
      </c>
      <c r="V865" s="257">
        <v>397.1</v>
      </c>
      <c r="W865" s="257">
        <v>-124.2</v>
      </c>
      <c r="X865" s="257">
        <v>1640.7</v>
      </c>
      <c r="Y865" s="257">
        <v>-1640.7</v>
      </c>
      <c r="Z865" s="257">
        <f>X865+Y865</f>
        <v>0</v>
      </c>
    </row>
    <row r="866" spans="1:26" ht="48.75" hidden="1" customHeight="1" x14ac:dyDescent="0.2">
      <c r="A866" s="259" t="s">
        <v>304</v>
      </c>
      <c r="B866" s="271">
        <v>801</v>
      </c>
      <c r="C866" s="252">
        <v>10</v>
      </c>
      <c r="D866" s="252" t="s">
        <v>194</v>
      </c>
      <c r="E866" s="252" t="s">
        <v>789</v>
      </c>
      <c r="F866" s="252"/>
      <c r="G866" s="257"/>
      <c r="H866" s="257">
        <f>H867</f>
        <v>300</v>
      </c>
      <c r="I866" s="257">
        <f>I867</f>
        <v>0</v>
      </c>
      <c r="J866" s="257">
        <f t="shared" si="1550"/>
        <v>300</v>
      </c>
      <c r="K866" s="257">
        <f>K867</f>
        <v>0</v>
      </c>
      <c r="L866" s="257">
        <f>L867</f>
        <v>0</v>
      </c>
      <c r="M866" s="257">
        <f>M867</f>
        <v>0</v>
      </c>
      <c r="N866" s="257">
        <f t="shared" ref="N866:Q866" si="1568">N867</f>
        <v>1</v>
      </c>
      <c r="O866" s="257">
        <f t="shared" si="1568"/>
        <v>2</v>
      </c>
      <c r="P866" s="257">
        <f t="shared" si="1568"/>
        <v>3</v>
      </c>
      <c r="Q866" s="257">
        <f t="shared" si="1568"/>
        <v>4</v>
      </c>
      <c r="R866" s="257">
        <f t="shared" si="1494"/>
        <v>7</v>
      </c>
      <c r="S866" s="257">
        <f t="shared" ref="S866:S867" si="1569">Q866+R866</f>
        <v>11</v>
      </c>
      <c r="T866" s="257">
        <f t="shared" ref="T866:T867" si="1570">R866+S866</f>
        <v>18</v>
      </c>
      <c r="U866" s="257">
        <f t="shared" ref="U866:U867" si="1571">S866+T866</f>
        <v>29</v>
      </c>
      <c r="V866" s="257">
        <f t="shared" ref="V866:V867" si="1572">T866+U866</f>
        <v>47</v>
      </c>
      <c r="W866" s="257">
        <f t="shared" ref="W866:W867" si="1573">U866+V866</f>
        <v>76</v>
      </c>
      <c r="X866" s="257">
        <v>1281</v>
      </c>
      <c r="Y866" s="257">
        <f t="shared" ref="Y866:Y867" si="1574">W866+X866</f>
        <v>1357</v>
      </c>
      <c r="Z866" s="257">
        <f t="shared" ref="Z866:Z868" si="1575">X866+Y866</f>
        <v>2638</v>
      </c>
    </row>
    <row r="867" spans="1:26" ht="23.25" hidden="1" customHeight="1" x14ac:dyDescent="0.2">
      <c r="A867" s="259" t="s">
        <v>304</v>
      </c>
      <c r="B867" s="271">
        <v>801</v>
      </c>
      <c r="C867" s="252">
        <v>10</v>
      </c>
      <c r="D867" s="252" t="s">
        <v>194</v>
      </c>
      <c r="E867" s="252" t="s">
        <v>789</v>
      </c>
      <c r="F867" s="252" t="s">
        <v>305</v>
      </c>
      <c r="G867" s="257"/>
      <c r="H867" s="257">
        <v>300</v>
      </c>
      <c r="I867" s="257">
        <v>0</v>
      </c>
      <c r="J867" s="257">
        <f t="shared" si="1550"/>
        <v>300</v>
      </c>
      <c r="K867" s="257">
        <v>0</v>
      </c>
      <c r="L867" s="257">
        <v>0</v>
      </c>
      <c r="M867" s="257">
        <v>0</v>
      </c>
      <c r="N867" s="257">
        <v>1</v>
      </c>
      <c r="O867" s="257">
        <v>2</v>
      </c>
      <c r="P867" s="257">
        <v>3</v>
      </c>
      <c r="Q867" s="257">
        <v>4</v>
      </c>
      <c r="R867" s="257">
        <f t="shared" si="1494"/>
        <v>7</v>
      </c>
      <c r="S867" s="257">
        <f t="shared" si="1569"/>
        <v>11</v>
      </c>
      <c r="T867" s="257">
        <f t="shared" si="1570"/>
        <v>18</v>
      </c>
      <c r="U867" s="257">
        <f t="shared" si="1571"/>
        <v>29</v>
      </c>
      <c r="V867" s="257">
        <f t="shared" si="1572"/>
        <v>47</v>
      </c>
      <c r="W867" s="257">
        <f t="shared" si="1573"/>
        <v>76</v>
      </c>
      <c r="X867" s="257">
        <v>1281</v>
      </c>
      <c r="Y867" s="257">
        <f t="shared" si="1574"/>
        <v>1357</v>
      </c>
      <c r="Z867" s="257">
        <f t="shared" si="1575"/>
        <v>2638</v>
      </c>
    </row>
    <row r="868" spans="1:26" ht="17.25" customHeight="1" x14ac:dyDescent="0.2">
      <c r="A868" s="259" t="s">
        <v>1118</v>
      </c>
      <c r="B868" s="271">
        <v>801</v>
      </c>
      <c r="C868" s="252">
        <v>10</v>
      </c>
      <c r="D868" s="252" t="s">
        <v>194</v>
      </c>
      <c r="E868" s="252" t="s">
        <v>1140</v>
      </c>
      <c r="F868" s="252" t="s">
        <v>305</v>
      </c>
      <c r="G868" s="257"/>
      <c r="H868" s="257"/>
      <c r="I868" s="257"/>
      <c r="J868" s="257"/>
      <c r="K868" s="257"/>
      <c r="L868" s="257"/>
      <c r="M868" s="257"/>
      <c r="N868" s="257"/>
      <c r="O868" s="257"/>
      <c r="P868" s="257"/>
      <c r="Q868" s="257"/>
      <c r="R868" s="257">
        <v>0</v>
      </c>
      <c r="S868" s="257">
        <v>18.2</v>
      </c>
      <c r="T868" s="257">
        <v>15.5</v>
      </c>
      <c r="U868" s="257">
        <v>-11.3</v>
      </c>
      <c r="V868" s="257">
        <v>4.0999999999999996</v>
      </c>
      <c r="W868" s="257">
        <v>-1.3</v>
      </c>
      <c r="X868" s="257">
        <v>16.57</v>
      </c>
      <c r="Y868" s="257">
        <v>-16.57</v>
      </c>
      <c r="Z868" s="257">
        <f t="shared" si="1575"/>
        <v>0</v>
      </c>
    </row>
    <row r="869" spans="1:26" ht="48" customHeight="1" x14ac:dyDescent="0.25">
      <c r="A869" s="464" t="s">
        <v>1287</v>
      </c>
      <c r="B869" s="271">
        <v>801</v>
      </c>
      <c r="C869" s="252">
        <v>10</v>
      </c>
      <c r="D869" s="252" t="s">
        <v>194</v>
      </c>
      <c r="E869" s="252" t="s">
        <v>1288</v>
      </c>
      <c r="F869" s="252"/>
      <c r="G869" s="257"/>
      <c r="H869" s="257"/>
      <c r="I869" s="257"/>
      <c r="J869" s="257"/>
      <c r="K869" s="257"/>
      <c r="L869" s="257"/>
      <c r="M869" s="257"/>
      <c r="N869" s="257"/>
      <c r="O869" s="257"/>
      <c r="P869" s="257"/>
      <c r="Q869" s="257"/>
      <c r="R869" s="257"/>
      <c r="S869" s="257"/>
      <c r="T869" s="257"/>
      <c r="U869" s="257"/>
      <c r="V869" s="257"/>
      <c r="W869" s="257"/>
      <c r="X869" s="257">
        <f>X870+X871</f>
        <v>1971.1000000000004</v>
      </c>
      <c r="Y869" s="257">
        <f t="shared" ref="Y869:Z869" si="1576">Y870+Y871</f>
        <v>38.800000000000182</v>
      </c>
      <c r="Z869" s="257">
        <f t="shared" si="1576"/>
        <v>2009.9</v>
      </c>
    </row>
    <row r="870" spans="1:26" ht="17.25" customHeight="1" x14ac:dyDescent="0.2">
      <c r="A870" s="259" t="s">
        <v>341</v>
      </c>
      <c r="B870" s="271">
        <v>801</v>
      </c>
      <c r="C870" s="252">
        <v>10</v>
      </c>
      <c r="D870" s="252" t="s">
        <v>194</v>
      </c>
      <c r="E870" s="252" t="s">
        <v>1193</v>
      </c>
      <c r="F870" s="252" t="s">
        <v>342</v>
      </c>
      <c r="G870" s="257"/>
      <c r="H870" s="257"/>
      <c r="I870" s="257"/>
      <c r="J870" s="257"/>
      <c r="K870" s="257"/>
      <c r="L870" s="257"/>
      <c r="M870" s="257"/>
      <c r="N870" s="257"/>
      <c r="O870" s="257"/>
      <c r="P870" s="257"/>
      <c r="Q870" s="257"/>
      <c r="R870" s="257"/>
      <c r="S870" s="257"/>
      <c r="T870" s="257"/>
      <c r="U870" s="257"/>
      <c r="V870" s="257"/>
      <c r="W870" s="257"/>
      <c r="X870" s="257">
        <v>1971.1000000000004</v>
      </c>
      <c r="Y870" s="257">
        <v>-1971.1</v>
      </c>
      <c r="Z870" s="257">
        <f>X870+Y870</f>
        <v>0</v>
      </c>
    </row>
    <row r="871" spans="1:26" ht="17.25" customHeight="1" x14ac:dyDescent="0.2">
      <c r="A871" s="259" t="s">
        <v>304</v>
      </c>
      <c r="B871" s="271">
        <v>801</v>
      </c>
      <c r="C871" s="252">
        <v>10</v>
      </c>
      <c r="D871" s="252" t="s">
        <v>194</v>
      </c>
      <c r="E871" s="252" t="s">
        <v>1288</v>
      </c>
      <c r="F871" s="252" t="s">
        <v>305</v>
      </c>
      <c r="G871" s="257"/>
      <c r="H871" s="257"/>
      <c r="I871" s="257"/>
      <c r="J871" s="257"/>
      <c r="K871" s="257"/>
      <c r="L871" s="257"/>
      <c r="M871" s="257"/>
      <c r="N871" s="257"/>
      <c r="O871" s="257"/>
      <c r="P871" s="257"/>
      <c r="Q871" s="257"/>
      <c r="R871" s="257"/>
      <c r="S871" s="257"/>
      <c r="T871" s="257"/>
      <c r="U871" s="257"/>
      <c r="V871" s="257"/>
      <c r="W871" s="257"/>
      <c r="X871" s="257">
        <v>0</v>
      </c>
      <c r="Y871" s="257">
        <v>2009.9</v>
      </c>
      <c r="Z871" s="257">
        <f>X871+Y871</f>
        <v>2009.9</v>
      </c>
    </row>
    <row r="872" spans="1:26" s="430" customFormat="1" ht="14.25" x14ac:dyDescent="0.2">
      <c r="A872" s="462" t="s">
        <v>127</v>
      </c>
      <c r="B872" s="249">
        <v>801</v>
      </c>
      <c r="C872" s="250" t="s">
        <v>205</v>
      </c>
      <c r="D872" s="250"/>
      <c r="E872" s="250"/>
      <c r="F872" s="250"/>
      <c r="G872" s="275"/>
      <c r="H872" s="275">
        <f t="shared" ref="H872:Z872" si="1577">H873</f>
        <v>2384</v>
      </c>
      <c r="I872" s="275">
        <f t="shared" si="1577"/>
        <v>352.27</v>
      </c>
      <c r="J872" s="275">
        <f t="shared" si="1577"/>
        <v>2736.27</v>
      </c>
      <c r="K872" s="275">
        <f t="shared" si="1577"/>
        <v>220</v>
      </c>
      <c r="L872" s="275">
        <f t="shared" si="1577"/>
        <v>3390</v>
      </c>
      <c r="M872" s="275">
        <f t="shared" si="1577"/>
        <v>3390</v>
      </c>
      <c r="N872" s="275">
        <f t="shared" si="1577"/>
        <v>506</v>
      </c>
      <c r="O872" s="275">
        <f t="shared" si="1577"/>
        <v>3896</v>
      </c>
      <c r="P872" s="275">
        <f t="shared" si="1577"/>
        <v>3896</v>
      </c>
      <c r="Q872" s="275">
        <f t="shared" si="1577"/>
        <v>0</v>
      </c>
      <c r="R872" s="275">
        <f t="shared" si="1577"/>
        <v>3896</v>
      </c>
      <c r="S872" s="275">
        <f t="shared" si="1577"/>
        <v>147</v>
      </c>
      <c r="T872" s="275">
        <f t="shared" si="1577"/>
        <v>4998</v>
      </c>
      <c r="U872" s="275">
        <f t="shared" si="1577"/>
        <v>-551</v>
      </c>
      <c r="V872" s="275">
        <f t="shared" si="1577"/>
        <v>4418</v>
      </c>
      <c r="W872" s="275">
        <f t="shared" si="1577"/>
        <v>176</v>
      </c>
      <c r="X872" s="275">
        <f t="shared" si="1577"/>
        <v>5374</v>
      </c>
      <c r="Y872" s="275">
        <f t="shared" si="1577"/>
        <v>-145</v>
      </c>
      <c r="Z872" s="275">
        <f t="shared" si="1577"/>
        <v>5229</v>
      </c>
    </row>
    <row r="873" spans="1:26" ht="18.75" customHeight="1" x14ac:dyDescent="0.2">
      <c r="A873" s="462" t="s">
        <v>1104</v>
      </c>
      <c r="B873" s="249">
        <v>801</v>
      </c>
      <c r="C873" s="250" t="s">
        <v>205</v>
      </c>
      <c r="D873" s="250" t="s">
        <v>192</v>
      </c>
      <c r="E873" s="250"/>
      <c r="F873" s="250"/>
      <c r="G873" s="257" t="e">
        <f>#REF!+G1036</f>
        <v>#REF!</v>
      </c>
      <c r="H873" s="257">
        <f t="shared" ref="H873:Q873" si="1578">H1036+H1038</f>
        <v>2384</v>
      </c>
      <c r="I873" s="257">
        <f t="shared" si="1578"/>
        <v>352.27</v>
      </c>
      <c r="J873" s="257">
        <f t="shared" si="1578"/>
        <v>2736.27</v>
      </c>
      <c r="K873" s="257">
        <f t="shared" si="1578"/>
        <v>220</v>
      </c>
      <c r="L873" s="257">
        <f t="shared" si="1578"/>
        <v>3390</v>
      </c>
      <c r="M873" s="257">
        <f t="shared" si="1578"/>
        <v>3390</v>
      </c>
      <c r="N873" s="257">
        <f t="shared" si="1578"/>
        <v>506</v>
      </c>
      <c r="O873" s="257">
        <f t="shared" si="1578"/>
        <v>3896</v>
      </c>
      <c r="P873" s="257">
        <f t="shared" si="1578"/>
        <v>3896</v>
      </c>
      <c r="Q873" s="257">
        <f t="shared" si="1578"/>
        <v>0</v>
      </c>
      <c r="R873" s="275">
        <f t="shared" ref="R873:Z873" si="1579">R1036+R1038+R1037</f>
        <v>3896</v>
      </c>
      <c r="S873" s="275">
        <f t="shared" si="1579"/>
        <v>147</v>
      </c>
      <c r="T873" s="275">
        <f t="shared" si="1579"/>
        <v>4998</v>
      </c>
      <c r="U873" s="275">
        <f t="shared" si="1579"/>
        <v>-551</v>
      </c>
      <c r="V873" s="275">
        <f t="shared" si="1579"/>
        <v>4418</v>
      </c>
      <c r="W873" s="275">
        <f t="shared" si="1579"/>
        <v>176</v>
      </c>
      <c r="X873" s="275">
        <f t="shared" si="1579"/>
        <v>5374</v>
      </c>
      <c r="Y873" s="275">
        <f t="shared" si="1579"/>
        <v>-145</v>
      </c>
      <c r="Z873" s="275">
        <f t="shared" si="1579"/>
        <v>5229</v>
      </c>
    </row>
    <row r="874" spans="1:26" hidden="1" x14ac:dyDescent="0.2">
      <c r="A874" s="259" t="s">
        <v>128</v>
      </c>
      <c r="B874" s="271">
        <v>801</v>
      </c>
      <c r="C874" s="252" t="s">
        <v>205</v>
      </c>
      <c r="D874" s="252" t="s">
        <v>192</v>
      </c>
      <c r="E874" s="252" t="s">
        <v>129</v>
      </c>
      <c r="F874" s="252"/>
      <c r="G874" s="257"/>
      <c r="H874" s="257"/>
      <c r="I874" s="257" t="e">
        <f>I875</f>
        <v>#REF!</v>
      </c>
      <c r="J874" s="257" t="e">
        <f t="shared" ref="J874:J937" si="1580">H874+I874</f>
        <v>#REF!</v>
      </c>
      <c r="K874" s="257" t="e">
        <f>K875</f>
        <v>#REF!</v>
      </c>
      <c r="L874" s="257" t="e">
        <f t="shared" ref="L874:Q916" si="1581">I874+J874</f>
        <v>#REF!</v>
      </c>
      <c r="M874" s="257" t="e">
        <f t="shared" si="1581"/>
        <v>#REF!</v>
      </c>
      <c r="N874" s="257" t="e">
        <f t="shared" si="1581"/>
        <v>#REF!</v>
      </c>
      <c r="O874" s="257" t="e">
        <f t="shared" si="1581"/>
        <v>#REF!</v>
      </c>
      <c r="P874" s="257" t="e">
        <f t="shared" si="1581"/>
        <v>#REF!</v>
      </c>
      <c r="Q874" s="257" t="e">
        <f t="shared" si="1581"/>
        <v>#REF!</v>
      </c>
      <c r="R874" s="257" t="e">
        <f t="shared" si="1494"/>
        <v>#REF!</v>
      </c>
      <c r="S874" s="257" t="e">
        <f t="shared" ref="S874:S937" si="1582">Q874+R874</f>
        <v>#REF!</v>
      </c>
      <c r="T874" s="257" t="e">
        <f t="shared" ref="T874:T937" si="1583">R874+S874</f>
        <v>#REF!</v>
      </c>
      <c r="U874" s="257" t="e">
        <f t="shared" ref="U874:U937" si="1584">S874+T874</f>
        <v>#REF!</v>
      </c>
      <c r="V874" s="257" t="e">
        <f t="shared" ref="V874:V937" si="1585">T874+U874</f>
        <v>#REF!</v>
      </c>
      <c r="W874" s="257" t="e">
        <f t="shared" ref="W874:W937" si="1586">U874+V874</f>
        <v>#REF!</v>
      </c>
      <c r="X874" s="257" t="e">
        <f t="shared" ref="X874:X937" si="1587">V874+W874</f>
        <v>#REF!</v>
      </c>
      <c r="Y874" s="257" t="e">
        <f t="shared" ref="Y874:Y937" si="1588">W874+X874</f>
        <v>#REF!</v>
      </c>
      <c r="Z874" s="257" t="e">
        <f t="shared" ref="Z874:Z937" si="1589">X874+Y874</f>
        <v>#REF!</v>
      </c>
    </row>
    <row r="875" spans="1:26" hidden="1" x14ac:dyDescent="0.2">
      <c r="A875" s="259" t="s">
        <v>299</v>
      </c>
      <c r="B875" s="271">
        <v>801</v>
      </c>
      <c r="C875" s="252" t="s">
        <v>205</v>
      </c>
      <c r="D875" s="252" t="s">
        <v>192</v>
      </c>
      <c r="E875" s="252" t="s">
        <v>5</v>
      </c>
      <c r="F875" s="252"/>
      <c r="G875" s="257"/>
      <c r="H875" s="257"/>
      <c r="I875" s="257" t="e">
        <f>I876+I1022+I1023+I1024+I1025+I1026+I1029+I1030+I1027+I1028</f>
        <v>#REF!</v>
      </c>
      <c r="J875" s="257" t="e">
        <f t="shared" si="1580"/>
        <v>#REF!</v>
      </c>
      <c r="K875" s="257" t="e">
        <f>K876+K1022+K1023+K1024+K1025+K1026+K1029+K1030+K1027+K1028</f>
        <v>#REF!</v>
      </c>
      <c r="L875" s="257" t="e">
        <f t="shared" si="1581"/>
        <v>#REF!</v>
      </c>
      <c r="M875" s="257" t="e">
        <f t="shared" si="1581"/>
        <v>#REF!</v>
      </c>
      <c r="N875" s="257" t="e">
        <f t="shared" si="1581"/>
        <v>#REF!</v>
      </c>
      <c r="O875" s="257" t="e">
        <f t="shared" si="1581"/>
        <v>#REF!</v>
      </c>
      <c r="P875" s="257" t="e">
        <f t="shared" si="1581"/>
        <v>#REF!</v>
      </c>
      <c r="Q875" s="257" t="e">
        <f t="shared" si="1581"/>
        <v>#REF!</v>
      </c>
      <c r="R875" s="257" t="e">
        <f t="shared" si="1494"/>
        <v>#REF!</v>
      </c>
      <c r="S875" s="257" t="e">
        <f t="shared" si="1582"/>
        <v>#REF!</v>
      </c>
      <c r="T875" s="257" t="e">
        <f t="shared" si="1583"/>
        <v>#REF!</v>
      </c>
      <c r="U875" s="257" t="e">
        <f t="shared" si="1584"/>
        <v>#REF!</v>
      </c>
      <c r="V875" s="257" t="e">
        <f t="shared" si="1585"/>
        <v>#REF!</v>
      </c>
      <c r="W875" s="257" t="e">
        <f t="shared" si="1586"/>
        <v>#REF!</v>
      </c>
      <c r="X875" s="257" t="e">
        <f t="shared" si="1587"/>
        <v>#REF!</v>
      </c>
      <c r="Y875" s="257" t="e">
        <f t="shared" si="1588"/>
        <v>#REF!</v>
      </c>
      <c r="Z875" s="257" t="e">
        <f t="shared" si="1589"/>
        <v>#REF!</v>
      </c>
    </row>
    <row r="876" spans="1:26" ht="12.75" hidden="1" customHeight="1" x14ac:dyDescent="0.2">
      <c r="A876" s="259" t="s">
        <v>300</v>
      </c>
      <c r="B876" s="271">
        <v>801</v>
      </c>
      <c r="C876" s="252" t="s">
        <v>205</v>
      </c>
      <c r="D876" s="252" t="s">
        <v>192</v>
      </c>
      <c r="E876" s="252" t="s">
        <v>5</v>
      </c>
      <c r="F876" s="252" t="s">
        <v>301</v>
      </c>
      <c r="G876" s="257"/>
      <c r="H876" s="257"/>
      <c r="I876" s="257" t="e">
        <f>#REF!+G876</f>
        <v>#REF!</v>
      </c>
      <c r="J876" s="257" t="e">
        <f t="shared" si="1580"/>
        <v>#REF!</v>
      </c>
      <c r="K876" s="257" t="e">
        <f t="shared" ref="K876:P939" si="1590">H876+I876</f>
        <v>#REF!</v>
      </c>
      <c r="L876" s="257" t="e">
        <f t="shared" si="1581"/>
        <v>#REF!</v>
      </c>
      <c r="M876" s="257" t="e">
        <f t="shared" si="1581"/>
        <v>#REF!</v>
      </c>
      <c r="N876" s="257" t="e">
        <f t="shared" si="1581"/>
        <v>#REF!</v>
      </c>
      <c r="O876" s="257" t="e">
        <f t="shared" si="1581"/>
        <v>#REF!</v>
      </c>
      <c r="P876" s="257" t="e">
        <f t="shared" si="1581"/>
        <v>#REF!</v>
      </c>
      <c r="Q876" s="257" t="e">
        <f t="shared" si="1581"/>
        <v>#REF!</v>
      </c>
      <c r="R876" s="257" t="e">
        <f t="shared" si="1494"/>
        <v>#REF!</v>
      </c>
      <c r="S876" s="257" t="e">
        <f t="shared" si="1582"/>
        <v>#REF!</v>
      </c>
      <c r="T876" s="257" t="e">
        <f t="shared" si="1583"/>
        <v>#REF!</v>
      </c>
      <c r="U876" s="257" t="e">
        <f t="shared" si="1584"/>
        <v>#REF!</v>
      </c>
      <c r="V876" s="257" t="e">
        <f t="shared" si="1585"/>
        <v>#REF!</v>
      </c>
      <c r="W876" s="257" t="e">
        <f t="shared" si="1586"/>
        <v>#REF!</v>
      </c>
      <c r="X876" s="257" t="e">
        <f t="shared" si="1587"/>
        <v>#REF!</v>
      </c>
      <c r="Y876" s="257" t="e">
        <f t="shared" si="1588"/>
        <v>#REF!</v>
      </c>
      <c r="Z876" s="257" t="e">
        <f t="shared" si="1589"/>
        <v>#REF!</v>
      </c>
    </row>
    <row r="877" spans="1:26" ht="12.75" hidden="1" customHeight="1" x14ac:dyDescent="0.2">
      <c r="A877" s="525" t="s">
        <v>6</v>
      </c>
      <c r="B877" s="526"/>
      <c r="C877" s="526"/>
      <c r="D877" s="526"/>
      <c r="E877" s="526"/>
      <c r="F877" s="526"/>
      <c r="G877" s="257"/>
      <c r="H877" s="257"/>
      <c r="I877" s="257" t="e">
        <f>#REF!+G877</f>
        <v>#REF!</v>
      </c>
      <c r="J877" s="257" t="e">
        <f t="shared" si="1580"/>
        <v>#REF!</v>
      </c>
      <c r="K877" s="257" t="e">
        <f t="shared" si="1590"/>
        <v>#REF!</v>
      </c>
      <c r="L877" s="257" t="e">
        <f t="shared" si="1581"/>
        <v>#REF!</v>
      </c>
      <c r="M877" s="257" t="e">
        <f t="shared" si="1581"/>
        <v>#REF!</v>
      </c>
      <c r="N877" s="257" t="e">
        <f t="shared" si="1581"/>
        <v>#REF!</v>
      </c>
      <c r="O877" s="257" t="e">
        <f t="shared" si="1581"/>
        <v>#REF!</v>
      </c>
      <c r="P877" s="257" t="e">
        <f t="shared" si="1581"/>
        <v>#REF!</v>
      </c>
      <c r="Q877" s="257" t="e">
        <f t="shared" si="1581"/>
        <v>#REF!</v>
      </c>
      <c r="R877" s="257" t="e">
        <f t="shared" si="1494"/>
        <v>#REF!</v>
      </c>
      <c r="S877" s="257" t="e">
        <f t="shared" si="1582"/>
        <v>#REF!</v>
      </c>
      <c r="T877" s="257" t="e">
        <f t="shared" si="1583"/>
        <v>#REF!</v>
      </c>
      <c r="U877" s="257" t="e">
        <f t="shared" si="1584"/>
        <v>#REF!</v>
      </c>
      <c r="V877" s="257" t="e">
        <f t="shared" si="1585"/>
        <v>#REF!</v>
      </c>
      <c r="W877" s="257" t="e">
        <f t="shared" si="1586"/>
        <v>#REF!</v>
      </c>
      <c r="X877" s="257" t="e">
        <f t="shared" si="1587"/>
        <v>#REF!</v>
      </c>
      <c r="Y877" s="257" t="e">
        <f t="shared" si="1588"/>
        <v>#REF!</v>
      </c>
      <c r="Z877" s="257" t="e">
        <f t="shared" si="1589"/>
        <v>#REF!</v>
      </c>
    </row>
    <row r="878" spans="1:26" ht="12.75" hidden="1" customHeight="1" x14ac:dyDescent="0.2">
      <c r="A878" s="462" t="s">
        <v>72</v>
      </c>
      <c r="B878" s="249">
        <v>803</v>
      </c>
      <c r="C878" s="249" t="s">
        <v>312</v>
      </c>
      <c r="D878" s="249"/>
      <c r="E878" s="249"/>
      <c r="F878" s="260"/>
      <c r="G878" s="257"/>
      <c r="H878" s="257"/>
      <c r="I878" s="257" t="e">
        <f>#REF!+G878</f>
        <v>#REF!</v>
      </c>
      <c r="J878" s="257" t="e">
        <f t="shared" si="1580"/>
        <v>#REF!</v>
      </c>
      <c r="K878" s="257" t="e">
        <f t="shared" si="1590"/>
        <v>#REF!</v>
      </c>
      <c r="L878" s="257" t="e">
        <f t="shared" si="1581"/>
        <v>#REF!</v>
      </c>
      <c r="M878" s="257" t="e">
        <f t="shared" si="1581"/>
        <v>#REF!</v>
      </c>
      <c r="N878" s="257" t="e">
        <f t="shared" si="1581"/>
        <v>#REF!</v>
      </c>
      <c r="O878" s="257" t="e">
        <f t="shared" si="1581"/>
        <v>#REF!</v>
      </c>
      <c r="P878" s="257" t="e">
        <f t="shared" si="1581"/>
        <v>#REF!</v>
      </c>
      <c r="Q878" s="257" t="e">
        <f t="shared" si="1581"/>
        <v>#REF!</v>
      </c>
      <c r="R878" s="257" t="e">
        <f t="shared" si="1494"/>
        <v>#REF!</v>
      </c>
      <c r="S878" s="257" t="e">
        <f t="shared" si="1582"/>
        <v>#REF!</v>
      </c>
      <c r="T878" s="257" t="e">
        <f t="shared" si="1583"/>
        <v>#REF!</v>
      </c>
      <c r="U878" s="257" t="e">
        <f t="shared" si="1584"/>
        <v>#REF!</v>
      </c>
      <c r="V878" s="257" t="e">
        <f t="shared" si="1585"/>
        <v>#REF!</v>
      </c>
      <c r="W878" s="257" t="e">
        <f t="shared" si="1586"/>
        <v>#REF!</v>
      </c>
      <c r="X878" s="257" t="e">
        <f t="shared" si="1587"/>
        <v>#REF!</v>
      </c>
      <c r="Y878" s="257" t="e">
        <f t="shared" si="1588"/>
        <v>#REF!</v>
      </c>
      <c r="Z878" s="257" t="e">
        <f t="shared" si="1589"/>
        <v>#REF!</v>
      </c>
    </row>
    <row r="879" spans="1:26" ht="25.5" hidden="1" customHeight="1" x14ac:dyDescent="0.2">
      <c r="A879" s="462" t="s">
        <v>368</v>
      </c>
      <c r="B879" s="249">
        <v>803</v>
      </c>
      <c r="C879" s="249" t="s">
        <v>312</v>
      </c>
      <c r="D879" s="249">
        <v>12</v>
      </c>
      <c r="E879" s="249"/>
      <c r="F879" s="249"/>
      <c r="G879" s="257"/>
      <c r="H879" s="257"/>
      <c r="I879" s="257" t="e">
        <f>#REF!+G879</f>
        <v>#REF!</v>
      </c>
      <c r="J879" s="257" t="e">
        <f t="shared" si="1580"/>
        <v>#REF!</v>
      </c>
      <c r="K879" s="257" t="e">
        <f t="shared" si="1590"/>
        <v>#REF!</v>
      </c>
      <c r="L879" s="257" t="e">
        <f t="shared" si="1581"/>
        <v>#REF!</v>
      </c>
      <c r="M879" s="257" t="e">
        <f t="shared" si="1581"/>
        <v>#REF!</v>
      </c>
      <c r="N879" s="257" t="e">
        <f t="shared" si="1581"/>
        <v>#REF!</v>
      </c>
      <c r="O879" s="257" t="e">
        <f t="shared" si="1581"/>
        <v>#REF!</v>
      </c>
      <c r="P879" s="257" t="e">
        <f t="shared" si="1581"/>
        <v>#REF!</v>
      </c>
      <c r="Q879" s="257" t="e">
        <f t="shared" si="1581"/>
        <v>#REF!</v>
      </c>
      <c r="R879" s="257" t="e">
        <f t="shared" si="1494"/>
        <v>#REF!</v>
      </c>
      <c r="S879" s="257" t="e">
        <f t="shared" si="1582"/>
        <v>#REF!</v>
      </c>
      <c r="T879" s="257" t="e">
        <f t="shared" si="1583"/>
        <v>#REF!</v>
      </c>
      <c r="U879" s="257" t="e">
        <f t="shared" si="1584"/>
        <v>#REF!</v>
      </c>
      <c r="V879" s="257" t="e">
        <f t="shared" si="1585"/>
        <v>#REF!</v>
      </c>
      <c r="W879" s="257" t="e">
        <f t="shared" si="1586"/>
        <v>#REF!</v>
      </c>
      <c r="X879" s="257" t="e">
        <f t="shared" si="1587"/>
        <v>#REF!</v>
      </c>
      <c r="Y879" s="257" t="e">
        <f t="shared" si="1588"/>
        <v>#REF!</v>
      </c>
      <c r="Z879" s="257" t="e">
        <f t="shared" si="1589"/>
        <v>#REF!</v>
      </c>
    </row>
    <row r="880" spans="1:26" ht="12.75" hidden="1" customHeight="1" x14ac:dyDescent="0.2">
      <c r="A880" s="259" t="s">
        <v>7</v>
      </c>
      <c r="B880" s="271">
        <v>803</v>
      </c>
      <c r="C880" s="271" t="s">
        <v>312</v>
      </c>
      <c r="D880" s="271">
        <v>12</v>
      </c>
      <c r="E880" s="271" t="s">
        <v>8</v>
      </c>
      <c r="F880" s="271"/>
      <c r="G880" s="257"/>
      <c r="H880" s="257"/>
      <c r="I880" s="257" t="e">
        <f>#REF!+G880</f>
        <v>#REF!</v>
      </c>
      <c r="J880" s="257" t="e">
        <f t="shared" si="1580"/>
        <v>#REF!</v>
      </c>
      <c r="K880" s="257" t="e">
        <f t="shared" si="1590"/>
        <v>#REF!</v>
      </c>
      <c r="L880" s="257" t="e">
        <f t="shared" si="1581"/>
        <v>#REF!</v>
      </c>
      <c r="M880" s="257" t="e">
        <f t="shared" si="1581"/>
        <v>#REF!</v>
      </c>
      <c r="N880" s="257" t="e">
        <f t="shared" si="1581"/>
        <v>#REF!</v>
      </c>
      <c r="O880" s="257" t="e">
        <f t="shared" si="1581"/>
        <v>#REF!</v>
      </c>
      <c r="P880" s="257" t="e">
        <f t="shared" si="1581"/>
        <v>#REF!</v>
      </c>
      <c r="Q880" s="257" t="e">
        <f t="shared" si="1581"/>
        <v>#REF!</v>
      </c>
      <c r="R880" s="257" t="e">
        <f t="shared" si="1494"/>
        <v>#REF!</v>
      </c>
      <c r="S880" s="257" t="e">
        <f t="shared" si="1582"/>
        <v>#REF!</v>
      </c>
      <c r="T880" s="257" t="e">
        <f t="shared" si="1583"/>
        <v>#REF!</v>
      </c>
      <c r="U880" s="257" t="e">
        <f t="shared" si="1584"/>
        <v>#REF!</v>
      </c>
      <c r="V880" s="257" t="e">
        <f t="shared" si="1585"/>
        <v>#REF!</v>
      </c>
      <c r="W880" s="257" t="e">
        <f t="shared" si="1586"/>
        <v>#REF!</v>
      </c>
      <c r="X880" s="257" t="e">
        <f t="shared" si="1587"/>
        <v>#REF!</v>
      </c>
      <c r="Y880" s="257" t="e">
        <f t="shared" si="1588"/>
        <v>#REF!</v>
      </c>
      <c r="Z880" s="257" t="e">
        <f t="shared" si="1589"/>
        <v>#REF!</v>
      </c>
    </row>
    <row r="881" spans="1:26" ht="12.75" hidden="1" customHeight="1" x14ac:dyDescent="0.2">
      <c r="A881" s="259" t="s">
        <v>299</v>
      </c>
      <c r="B881" s="271">
        <v>803</v>
      </c>
      <c r="C881" s="271" t="s">
        <v>312</v>
      </c>
      <c r="D881" s="271">
        <v>12</v>
      </c>
      <c r="E881" s="271" t="s">
        <v>9</v>
      </c>
      <c r="F881" s="271"/>
      <c r="G881" s="257"/>
      <c r="H881" s="257"/>
      <c r="I881" s="257" t="e">
        <f>#REF!+G881</f>
        <v>#REF!</v>
      </c>
      <c r="J881" s="257" t="e">
        <f t="shared" si="1580"/>
        <v>#REF!</v>
      </c>
      <c r="K881" s="257" t="e">
        <f t="shared" si="1590"/>
        <v>#REF!</v>
      </c>
      <c r="L881" s="257" t="e">
        <f t="shared" si="1581"/>
        <v>#REF!</v>
      </c>
      <c r="M881" s="257" t="e">
        <f t="shared" si="1581"/>
        <v>#REF!</v>
      </c>
      <c r="N881" s="257" t="e">
        <f t="shared" si="1581"/>
        <v>#REF!</v>
      </c>
      <c r="O881" s="257" t="e">
        <f t="shared" si="1581"/>
        <v>#REF!</v>
      </c>
      <c r="P881" s="257" t="e">
        <f t="shared" si="1581"/>
        <v>#REF!</v>
      </c>
      <c r="Q881" s="257" t="e">
        <f t="shared" si="1581"/>
        <v>#REF!</v>
      </c>
      <c r="R881" s="257" t="e">
        <f t="shared" si="1494"/>
        <v>#REF!</v>
      </c>
      <c r="S881" s="257" t="e">
        <f t="shared" si="1582"/>
        <v>#REF!</v>
      </c>
      <c r="T881" s="257" t="e">
        <f t="shared" si="1583"/>
        <v>#REF!</v>
      </c>
      <c r="U881" s="257" t="e">
        <f t="shared" si="1584"/>
        <v>#REF!</v>
      </c>
      <c r="V881" s="257" t="e">
        <f t="shared" si="1585"/>
        <v>#REF!</v>
      </c>
      <c r="W881" s="257" t="e">
        <f t="shared" si="1586"/>
        <v>#REF!</v>
      </c>
      <c r="X881" s="257" t="e">
        <f t="shared" si="1587"/>
        <v>#REF!</v>
      </c>
      <c r="Y881" s="257" t="e">
        <f t="shared" si="1588"/>
        <v>#REF!</v>
      </c>
      <c r="Z881" s="257" t="e">
        <f t="shared" si="1589"/>
        <v>#REF!</v>
      </c>
    </row>
    <row r="882" spans="1:26" ht="12.75" hidden="1" customHeight="1" x14ac:dyDescent="0.2">
      <c r="A882" s="259" t="s">
        <v>300</v>
      </c>
      <c r="B882" s="271">
        <v>803</v>
      </c>
      <c r="C882" s="271" t="s">
        <v>312</v>
      </c>
      <c r="D882" s="271">
        <v>12</v>
      </c>
      <c r="E882" s="271" t="s">
        <v>9</v>
      </c>
      <c r="F882" s="252" t="s">
        <v>301</v>
      </c>
      <c r="G882" s="257"/>
      <c r="H882" s="257"/>
      <c r="I882" s="257" t="e">
        <f>#REF!+G882</f>
        <v>#REF!</v>
      </c>
      <c r="J882" s="257" t="e">
        <f t="shared" si="1580"/>
        <v>#REF!</v>
      </c>
      <c r="K882" s="257" t="e">
        <f t="shared" si="1590"/>
        <v>#REF!</v>
      </c>
      <c r="L882" s="257" t="e">
        <f t="shared" si="1581"/>
        <v>#REF!</v>
      </c>
      <c r="M882" s="257" t="e">
        <f t="shared" si="1581"/>
        <v>#REF!</v>
      </c>
      <c r="N882" s="257" t="e">
        <f t="shared" si="1581"/>
        <v>#REF!</v>
      </c>
      <c r="O882" s="257" t="e">
        <f t="shared" si="1581"/>
        <v>#REF!</v>
      </c>
      <c r="P882" s="257" t="e">
        <f t="shared" si="1581"/>
        <v>#REF!</v>
      </c>
      <c r="Q882" s="257" t="e">
        <f t="shared" si="1581"/>
        <v>#REF!</v>
      </c>
      <c r="R882" s="257" t="e">
        <f t="shared" si="1494"/>
        <v>#REF!</v>
      </c>
      <c r="S882" s="257" t="e">
        <f t="shared" si="1582"/>
        <v>#REF!</v>
      </c>
      <c r="T882" s="257" t="e">
        <f t="shared" si="1583"/>
        <v>#REF!</v>
      </c>
      <c r="U882" s="257" t="e">
        <f t="shared" si="1584"/>
        <v>#REF!</v>
      </c>
      <c r="V882" s="257" t="e">
        <f t="shared" si="1585"/>
        <v>#REF!</v>
      </c>
      <c r="W882" s="257" t="e">
        <f t="shared" si="1586"/>
        <v>#REF!</v>
      </c>
      <c r="X882" s="257" t="e">
        <f t="shared" si="1587"/>
        <v>#REF!</v>
      </c>
      <c r="Y882" s="257" t="e">
        <f t="shared" si="1588"/>
        <v>#REF!</v>
      </c>
      <c r="Z882" s="257" t="e">
        <f t="shared" si="1589"/>
        <v>#REF!</v>
      </c>
    </row>
    <row r="883" spans="1:26" ht="25.5" hidden="1" customHeight="1" x14ac:dyDescent="0.2">
      <c r="A883" s="259" t="s">
        <v>147</v>
      </c>
      <c r="B883" s="271">
        <v>803</v>
      </c>
      <c r="C883" s="252" t="s">
        <v>190</v>
      </c>
      <c r="D883" s="271">
        <v>12</v>
      </c>
      <c r="E883" s="271" t="s">
        <v>10</v>
      </c>
      <c r="F883" s="252"/>
      <c r="G883" s="257"/>
      <c r="H883" s="257"/>
      <c r="I883" s="257" t="e">
        <f>#REF!+G883</f>
        <v>#REF!</v>
      </c>
      <c r="J883" s="257" t="e">
        <f t="shared" si="1580"/>
        <v>#REF!</v>
      </c>
      <c r="K883" s="257" t="e">
        <f t="shared" si="1590"/>
        <v>#REF!</v>
      </c>
      <c r="L883" s="257" t="e">
        <f t="shared" si="1581"/>
        <v>#REF!</v>
      </c>
      <c r="M883" s="257" t="e">
        <f t="shared" si="1581"/>
        <v>#REF!</v>
      </c>
      <c r="N883" s="257" t="e">
        <f t="shared" si="1581"/>
        <v>#REF!</v>
      </c>
      <c r="O883" s="257" t="e">
        <f t="shared" si="1581"/>
        <v>#REF!</v>
      </c>
      <c r="P883" s="257" t="e">
        <f t="shared" si="1581"/>
        <v>#REF!</v>
      </c>
      <c r="Q883" s="257" t="e">
        <f t="shared" si="1581"/>
        <v>#REF!</v>
      </c>
      <c r="R883" s="257" t="e">
        <f t="shared" si="1494"/>
        <v>#REF!</v>
      </c>
      <c r="S883" s="257" t="e">
        <f t="shared" si="1582"/>
        <v>#REF!</v>
      </c>
      <c r="T883" s="257" t="e">
        <f t="shared" si="1583"/>
        <v>#REF!</v>
      </c>
      <c r="U883" s="257" t="e">
        <f t="shared" si="1584"/>
        <v>#REF!</v>
      </c>
      <c r="V883" s="257" t="e">
        <f t="shared" si="1585"/>
        <v>#REF!</v>
      </c>
      <c r="W883" s="257" t="e">
        <f t="shared" si="1586"/>
        <v>#REF!</v>
      </c>
      <c r="X883" s="257" t="e">
        <f t="shared" si="1587"/>
        <v>#REF!</v>
      </c>
      <c r="Y883" s="257" t="e">
        <f t="shared" si="1588"/>
        <v>#REF!</v>
      </c>
      <c r="Z883" s="257" t="e">
        <f t="shared" si="1589"/>
        <v>#REF!</v>
      </c>
    </row>
    <row r="884" spans="1:26" ht="12.75" hidden="1" customHeight="1" x14ac:dyDescent="0.2">
      <c r="A884" s="259" t="s">
        <v>300</v>
      </c>
      <c r="B884" s="271">
        <v>803</v>
      </c>
      <c r="C884" s="252" t="s">
        <v>190</v>
      </c>
      <c r="D884" s="271">
        <v>12</v>
      </c>
      <c r="E884" s="271" t="s">
        <v>10</v>
      </c>
      <c r="F884" s="252" t="s">
        <v>301</v>
      </c>
      <c r="G884" s="257"/>
      <c r="H884" s="257"/>
      <c r="I884" s="257" t="e">
        <f>#REF!+G884</f>
        <v>#REF!</v>
      </c>
      <c r="J884" s="257" t="e">
        <f t="shared" si="1580"/>
        <v>#REF!</v>
      </c>
      <c r="K884" s="257" t="e">
        <f t="shared" si="1590"/>
        <v>#REF!</v>
      </c>
      <c r="L884" s="257" t="e">
        <f t="shared" si="1581"/>
        <v>#REF!</v>
      </c>
      <c r="M884" s="257" t="e">
        <f t="shared" si="1581"/>
        <v>#REF!</v>
      </c>
      <c r="N884" s="257" t="e">
        <f t="shared" si="1581"/>
        <v>#REF!</v>
      </c>
      <c r="O884" s="257" t="e">
        <f t="shared" si="1581"/>
        <v>#REF!</v>
      </c>
      <c r="P884" s="257" t="e">
        <f t="shared" si="1581"/>
        <v>#REF!</v>
      </c>
      <c r="Q884" s="257" t="e">
        <f t="shared" si="1581"/>
        <v>#REF!</v>
      </c>
      <c r="R884" s="257" t="e">
        <f t="shared" si="1494"/>
        <v>#REF!</v>
      </c>
      <c r="S884" s="257" t="e">
        <f t="shared" si="1582"/>
        <v>#REF!</v>
      </c>
      <c r="T884" s="257" t="e">
        <f t="shared" si="1583"/>
        <v>#REF!</v>
      </c>
      <c r="U884" s="257" t="e">
        <f t="shared" si="1584"/>
        <v>#REF!</v>
      </c>
      <c r="V884" s="257" t="e">
        <f t="shared" si="1585"/>
        <v>#REF!</v>
      </c>
      <c r="W884" s="257" t="e">
        <f t="shared" si="1586"/>
        <v>#REF!</v>
      </c>
      <c r="X884" s="257" t="e">
        <f t="shared" si="1587"/>
        <v>#REF!</v>
      </c>
      <c r="Y884" s="257" t="e">
        <f t="shared" si="1588"/>
        <v>#REF!</v>
      </c>
      <c r="Z884" s="257" t="e">
        <f t="shared" si="1589"/>
        <v>#REF!</v>
      </c>
    </row>
    <row r="885" spans="1:26" ht="12.75" hidden="1" customHeight="1" x14ac:dyDescent="0.2">
      <c r="A885" s="462" t="s">
        <v>306</v>
      </c>
      <c r="B885" s="249">
        <v>803</v>
      </c>
      <c r="C885" s="250" t="s">
        <v>196</v>
      </c>
      <c r="D885" s="250"/>
      <c r="E885" s="250"/>
      <c r="F885" s="250"/>
      <c r="G885" s="257"/>
      <c r="H885" s="257"/>
      <c r="I885" s="257" t="e">
        <f>#REF!+G885</f>
        <v>#REF!</v>
      </c>
      <c r="J885" s="257" t="e">
        <f t="shared" si="1580"/>
        <v>#REF!</v>
      </c>
      <c r="K885" s="257" t="e">
        <f t="shared" si="1590"/>
        <v>#REF!</v>
      </c>
      <c r="L885" s="257" t="e">
        <f t="shared" si="1581"/>
        <v>#REF!</v>
      </c>
      <c r="M885" s="257" t="e">
        <f t="shared" si="1581"/>
        <v>#REF!</v>
      </c>
      <c r="N885" s="257" t="e">
        <f t="shared" si="1581"/>
        <v>#REF!</v>
      </c>
      <c r="O885" s="257" t="e">
        <f t="shared" si="1581"/>
        <v>#REF!</v>
      </c>
      <c r="P885" s="257" t="e">
        <f t="shared" si="1581"/>
        <v>#REF!</v>
      </c>
      <c r="Q885" s="257" t="e">
        <f t="shared" si="1581"/>
        <v>#REF!</v>
      </c>
      <c r="R885" s="257" t="e">
        <f t="shared" si="1494"/>
        <v>#REF!</v>
      </c>
      <c r="S885" s="257" t="e">
        <f t="shared" si="1582"/>
        <v>#REF!</v>
      </c>
      <c r="T885" s="257" t="e">
        <f t="shared" si="1583"/>
        <v>#REF!</v>
      </c>
      <c r="U885" s="257" t="e">
        <f t="shared" si="1584"/>
        <v>#REF!</v>
      </c>
      <c r="V885" s="257" t="e">
        <f t="shared" si="1585"/>
        <v>#REF!</v>
      </c>
      <c r="W885" s="257" t="e">
        <f t="shared" si="1586"/>
        <v>#REF!</v>
      </c>
      <c r="X885" s="257" t="e">
        <f t="shared" si="1587"/>
        <v>#REF!</v>
      </c>
      <c r="Y885" s="257" t="e">
        <f t="shared" si="1588"/>
        <v>#REF!</v>
      </c>
      <c r="Z885" s="257" t="e">
        <f t="shared" si="1589"/>
        <v>#REF!</v>
      </c>
    </row>
    <row r="886" spans="1:26" ht="12.75" hidden="1" customHeight="1" x14ac:dyDescent="0.2">
      <c r="A886" s="462" t="s">
        <v>218</v>
      </c>
      <c r="B886" s="249">
        <v>803</v>
      </c>
      <c r="C886" s="250" t="s">
        <v>196</v>
      </c>
      <c r="D886" s="250" t="s">
        <v>200</v>
      </c>
      <c r="E886" s="250"/>
      <c r="F886" s="250"/>
      <c r="G886" s="257"/>
      <c r="H886" s="257"/>
      <c r="I886" s="257" t="e">
        <f>#REF!+G886</f>
        <v>#REF!</v>
      </c>
      <c r="J886" s="257" t="e">
        <f t="shared" si="1580"/>
        <v>#REF!</v>
      </c>
      <c r="K886" s="257" t="e">
        <f t="shared" si="1590"/>
        <v>#REF!</v>
      </c>
      <c r="L886" s="257" t="e">
        <f t="shared" si="1581"/>
        <v>#REF!</v>
      </c>
      <c r="M886" s="257" t="e">
        <f t="shared" si="1581"/>
        <v>#REF!</v>
      </c>
      <c r="N886" s="257" t="e">
        <f t="shared" si="1581"/>
        <v>#REF!</v>
      </c>
      <c r="O886" s="257" t="e">
        <f t="shared" si="1581"/>
        <v>#REF!</v>
      </c>
      <c r="P886" s="257" t="e">
        <f t="shared" si="1581"/>
        <v>#REF!</v>
      </c>
      <c r="Q886" s="257" t="e">
        <f t="shared" si="1581"/>
        <v>#REF!</v>
      </c>
      <c r="R886" s="257" t="e">
        <f t="shared" si="1494"/>
        <v>#REF!</v>
      </c>
      <c r="S886" s="257" t="e">
        <f t="shared" si="1582"/>
        <v>#REF!</v>
      </c>
      <c r="T886" s="257" t="e">
        <f t="shared" si="1583"/>
        <v>#REF!</v>
      </c>
      <c r="U886" s="257" t="e">
        <f t="shared" si="1584"/>
        <v>#REF!</v>
      </c>
      <c r="V886" s="257" t="e">
        <f t="shared" si="1585"/>
        <v>#REF!</v>
      </c>
      <c r="W886" s="257" t="e">
        <f t="shared" si="1586"/>
        <v>#REF!</v>
      </c>
      <c r="X886" s="257" t="e">
        <f t="shared" si="1587"/>
        <v>#REF!</v>
      </c>
      <c r="Y886" s="257" t="e">
        <f t="shared" si="1588"/>
        <v>#REF!</v>
      </c>
      <c r="Z886" s="257" t="e">
        <f t="shared" si="1589"/>
        <v>#REF!</v>
      </c>
    </row>
    <row r="887" spans="1:26" ht="12.75" hidden="1" customHeight="1" x14ac:dyDescent="0.2">
      <c r="A887" s="259" t="s">
        <v>11</v>
      </c>
      <c r="B887" s="271">
        <v>803</v>
      </c>
      <c r="C887" s="252" t="s">
        <v>196</v>
      </c>
      <c r="D887" s="252" t="s">
        <v>200</v>
      </c>
      <c r="E887" s="252" t="s">
        <v>12</v>
      </c>
      <c r="F887" s="250"/>
      <c r="G887" s="257"/>
      <c r="H887" s="257"/>
      <c r="I887" s="257" t="e">
        <f>#REF!+G887</f>
        <v>#REF!</v>
      </c>
      <c r="J887" s="257" t="e">
        <f t="shared" si="1580"/>
        <v>#REF!</v>
      </c>
      <c r="K887" s="257" t="e">
        <f t="shared" si="1590"/>
        <v>#REF!</v>
      </c>
      <c r="L887" s="257" t="e">
        <f t="shared" si="1581"/>
        <v>#REF!</v>
      </c>
      <c r="M887" s="257" t="e">
        <f t="shared" si="1581"/>
        <v>#REF!</v>
      </c>
      <c r="N887" s="257" t="e">
        <f t="shared" si="1581"/>
        <v>#REF!</v>
      </c>
      <c r="O887" s="257" t="e">
        <f t="shared" si="1581"/>
        <v>#REF!</v>
      </c>
      <c r="P887" s="257" t="e">
        <f t="shared" si="1581"/>
        <v>#REF!</v>
      </c>
      <c r="Q887" s="257" t="e">
        <f t="shared" si="1581"/>
        <v>#REF!</v>
      </c>
      <c r="R887" s="257" t="e">
        <f t="shared" si="1494"/>
        <v>#REF!</v>
      </c>
      <c r="S887" s="257" t="e">
        <f t="shared" si="1582"/>
        <v>#REF!</v>
      </c>
      <c r="T887" s="257" t="e">
        <f t="shared" si="1583"/>
        <v>#REF!</v>
      </c>
      <c r="U887" s="257" t="e">
        <f t="shared" si="1584"/>
        <v>#REF!</v>
      </c>
      <c r="V887" s="257" t="e">
        <f t="shared" si="1585"/>
        <v>#REF!</v>
      </c>
      <c r="W887" s="257" t="e">
        <f t="shared" si="1586"/>
        <v>#REF!</v>
      </c>
      <c r="X887" s="257" t="e">
        <f t="shared" si="1587"/>
        <v>#REF!</v>
      </c>
      <c r="Y887" s="257" t="e">
        <f t="shared" si="1588"/>
        <v>#REF!</v>
      </c>
      <c r="Z887" s="257" t="e">
        <f t="shared" si="1589"/>
        <v>#REF!</v>
      </c>
    </row>
    <row r="888" spans="1:26" ht="51" hidden="1" customHeight="1" x14ac:dyDescent="0.2">
      <c r="A888" s="259" t="s">
        <v>13</v>
      </c>
      <c r="B888" s="271">
        <v>803</v>
      </c>
      <c r="C888" s="252" t="s">
        <v>196</v>
      </c>
      <c r="D888" s="252" t="s">
        <v>200</v>
      </c>
      <c r="E888" s="252" t="s">
        <v>14</v>
      </c>
      <c r="F888" s="252"/>
      <c r="G888" s="257"/>
      <c r="H888" s="257"/>
      <c r="I888" s="257" t="e">
        <f>#REF!+G888</f>
        <v>#REF!</v>
      </c>
      <c r="J888" s="257" t="e">
        <f t="shared" si="1580"/>
        <v>#REF!</v>
      </c>
      <c r="K888" s="257" t="e">
        <f t="shared" si="1590"/>
        <v>#REF!</v>
      </c>
      <c r="L888" s="257" t="e">
        <f t="shared" si="1581"/>
        <v>#REF!</v>
      </c>
      <c r="M888" s="257" t="e">
        <f t="shared" si="1581"/>
        <v>#REF!</v>
      </c>
      <c r="N888" s="257" t="e">
        <f t="shared" si="1581"/>
        <v>#REF!</v>
      </c>
      <c r="O888" s="257" t="e">
        <f t="shared" si="1581"/>
        <v>#REF!</v>
      </c>
      <c r="P888" s="257" t="e">
        <f t="shared" si="1581"/>
        <v>#REF!</v>
      </c>
      <c r="Q888" s="257" t="e">
        <f t="shared" si="1581"/>
        <v>#REF!</v>
      </c>
      <c r="R888" s="257" t="e">
        <f t="shared" si="1494"/>
        <v>#REF!</v>
      </c>
      <c r="S888" s="257" t="e">
        <f t="shared" si="1582"/>
        <v>#REF!</v>
      </c>
      <c r="T888" s="257" t="e">
        <f t="shared" si="1583"/>
        <v>#REF!</v>
      </c>
      <c r="U888" s="257" t="e">
        <f t="shared" si="1584"/>
        <v>#REF!</v>
      </c>
      <c r="V888" s="257" t="e">
        <f t="shared" si="1585"/>
        <v>#REF!</v>
      </c>
      <c r="W888" s="257" t="e">
        <f t="shared" si="1586"/>
        <v>#REF!</v>
      </c>
      <c r="X888" s="257" t="e">
        <f t="shared" si="1587"/>
        <v>#REF!</v>
      </c>
      <c r="Y888" s="257" t="e">
        <f t="shared" si="1588"/>
        <v>#REF!</v>
      </c>
      <c r="Z888" s="257" t="e">
        <f t="shared" si="1589"/>
        <v>#REF!</v>
      </c>
    </row>
    <row r="889" spans="1:26" ht="12.75" hidden="1" customHeight="1" x14ac:dyDescent="0.2">
      <c r="A889" s="259" t="s">
        <v>153</v>
      </c>
      <c r="B889" s="271">
        <v>803</v>
      </c>
      <c r="C889" s="252" t="s">
        <v>196</v>
      </c>
      <c r="D889" s="252" t="s">
        <v>200</v>
      </c>
      <c r="E889" s="252" t="s">
        <v>14</v>
      </c>
      <c r="F889" s="252" t="s">
        <v>154</v>
      </c>
      <c r="G889" s="257"/>
      <c r="H889" s="257"/>
      <c r="I889" s="257" t="e">
        <f>#REF!+G889</f>
        <v>#REF!</v>
      </c>
      <c r="J889" s="257" t="e">
        <f t="shared" si="1580"/>
        <v>#REF!</v>
      </c>
      <c r="K889" s="257" t="e">
        <f t="shared" si="1590"/>
        <v>#REF!</v>
      </c>
      <c r="L889" s="257" t="e">
        <f t="shared" si="1581"/>
        <v>#REF!</v>
      </c>
      <c r="M889" s="257" t="e">
        <f t="shared" si="1581"/>
        <v>#REF!</v>
      </c>
      <c r="N889" s="257" t="e">
        <f t="shared" si="1581"/>
        <v>#REF!</v>
      </c>
      <c r="O889" s="257" t="e">
        <f t="shared" si="1581"/>
        <v>#REF!</v>
      </c>
      <c r="P889" s="257" t="e">
        <f t="shared" si="1581"/>
        <v>#REF!</v>
      </c>
      <c r="Q889" s="257" t="e">
        <f t="shared" si="1581"/>
        <v>#REF!</v>
      </c>
      <c r="R889" s="257" t="e">
        <f t="shared" si="1494"/>
        <v>#REF!</v>
      </c>
      <c r="S889" s="257" t="e">
        <f t="shared" si="1582"/>
        <v>#REF!</v>
      </c>
      <c r="T889" s="257" t="e">
        <f t="shared" si="1583"/>
        <v>#REF!</v>
      </c>
      <c r="U889" s="257" t="e">
        <f t="shared" si="1584"/>
        <v>#REF!</v>
      </c>
      <c r="V889" s="257" t="e">
        <f t="shared" si="1585"/>
        <v>#REF!</v>
      </c>
      <c r="W889" s="257" t="e">
        <f t="shared" si="1586"/>
        <v>#REF!</v>
      </c>
      <c r="X889" s="257" t="e">
        <f t="shared" si="1587"/>
        <v>#REF!</v>
      </c>
      <c r="Y889" s="257" t="e">
        <f t="shared" si="1588"/>
        <v>#REF!</v>
      </c>
      <c r="Z889" s="257" t="e">
        <f t="shared" si="1589"/>
        <v>#REF!</v>
      </c>
    </row>
    <row r="890" spans="1:26" ht="51" hidden="1" customHeight="1" x14ac:dyDescent="0.2">
      <c r="A890" s="259" t="s">
        <v>15</v>
      </c>
      <c r="B890" s="271">
        <v>803</v>
      </c>
      <c r="C890" s="252" t="s">
        <v>196</v>
      </c>
      <c r="D890" s="252" t="s">
        <v>200</v>
      </c>
      <c r="E890" s="252" t="s">
        <v>16</v>
      </c>
      <c r="F890" s="252"/>
      <c r="G890" s="257"/>
      <c r="H890" s="257"/>
      <c r="I890" s="257" t="e">
        <f>#REF!+G890</f>
        <v>#REF!</v>
      </c>
      <c r="J890" s="257" t="e">
        <f t="shared" si="1580"/>
        <v>#REF!</v>
      </c>
      <c r="K890" s="257" t="e">
        <f t="shared" si="1590"/>
        <v>#REF!</v>
      </c>
      <c r="L890" s="257" t="e">
        <f t="shared" si="1581"/>
        <v>#REF!</v>
      </c>
      <c r="M890" s="257" t="e">
        <f t="shared" si="1581"/>
        <v>#REF!</v>
      </c>
      <c r="N890" s="257" t="e">
        <f t="shared" si="1581"/>
        <v>#REF!</v>
      </c>
      <c r="O890" s="257" t="e">
        <f t="shared" si="1581"/>
        <v>#REF!</v>
      </c>
      <c r="P890" s="257" t="e">
        <f t="shared" si="1581"/>
        <v>#REF!</v>
      </c>
      <c r="Q890" s="257" t="e">
        <f t="shared" si="1581"/>
        <v>#REF!</v>
      </c>
      <c r="R890" s="257" t="e">
        <f t="shared" si="1494"/>
        <v>#REF!</v>
      </c>
      <c r="S890" s="257" t="e">
        <f t="shared" si="1582"/>
        <v>#REF!</v>
      </c>
      <c r="T890" s="257" t="e">
        <f t="shared" si="1583"/>
        <v>#REF!</v>
      </c>
      <c r="U890" s="257" t="e">
        <f t="shared" si="1584"/>
        <v>#REF!</v>
      </c>
      <c r="V890" s="257" t="e">
        <f t="shared" si="1585"/>
        <v>#REF!</v>
      </c>
      <c r="W890" s="257" t="e">
        <f t="shared" si="1586"/>
        <v>#REF!</v>
      </c>
      <c r="X890" s="257" t="e">
        <f t="shared" si="1587"/>
        <v>#REF!</v>
      </c>
      <c r="Y890" s="257" t="e">
        <f t="shared" si="1588"/>
        <v>#REF!</v>
      </c>
      <c r="Z890" s="257" t="e">
        <f t="shared" si="1589"/>
        <v>#REF!</v>
      </c>
    </row>
    <row r="891" spans="1:26" ht="12.75" hidden="1" customHeight="1" x14ac:dyDescent="0.2">
      <c r="A891" s="259" t="s">
        <v>153</v>
      </c>
      <c r="B891" s="271">
        <v>803</v>
      </c>
      <c r="C891" s="252" t="s">
        <v>196</v>
      </c>
      <c r="D891" s="252" t="s">
        <v>200</v>
      </c>
      <c r="E891" s="252" t="s">
        <v>16</v>
      </c>
      <c r="F891" s="252" t="s">
        <v>154</v>
      </c>
      <c r="G891" s="257"/>
      <c r="H891" s="257"/>
      <c r="I891" s="257" t="e">
        <f>#REF!+G891</f>
        <v>#REF!</v>
      </c>
      <c r="J891" s="257" t="e">
        <f t="shared" si="1580"/>
        <v>#REF!</v>
      </c>
      <c r="K891" s="257" t="e">
        <f t="shared" si="1590"/>
        <v>#REF!</v>
      </c>
      <c r="L891" s="257" t="e">
        <f t="shared" si="1581"/>
        <v>#REF!</v>
      </c>
      <c r="M891" s="257" t="e">
        <f t="shared" si="1581"/>
        <v>#REF!</v>
      </c>
      <c r="N891" s="257" t="e">
        <f t="shared" si="1581"/>
        <v>#REF!</v>
      </c>
      <c r="O891" s="257" t="e">
        <f t="shared" si="1581"/>
        <v>#REF!</v>
      </c>
      <c r="P891" s="257" t="e">
        <f t="shared" si="1581"/>
        <v>#REF!</v>
      </c>
      <c r="Q891" s="257" t="e">
        <f t="shared" si="1581"/>
        <v>#REF!</v>
      </c>
      <c r="R891" s="257" t="e">
        <f t="shared" si="1494"/>
        <v>#REF!</v>
      </c>
      <c r="S891" s="257" t="e">
        <f t="shared" si="1582"/>
        <v>#REF!</v>
      </c>
      <c r="T891" s="257" t="e">
        <f t="shared" si="1583"/>
        <v>#REF!</v>
      </c>
      <c r="U891" s="257" t="e">
        <f t="shared" si="1584"/>
        <v>#REF!</v>
      </c>
      <c r="V891" s="257" t="e">
        <f t="shared" si="1585"/>
        <v>#REF!</v>
      </c>
      <c r="W891" s="257" t="e">
        <f t="shared" si="1586"/>
        <v>#REF!</v>
      </c>
      <c r="X891" s="257" t="e">
        <f t="shared" si="1587"/>
        <v>#REF!</v>
      </c>
      <c r="Y891" s="257" t="e">
        <f t="shared" si="1588"/>
        <v>#REF!</v>
      </c>
      <c r="Z891" s="257" t="e">
        <f t="shared" si="1589"/>
        <v>#REF!</v>
      </c>
    </row>
    <row r="892" spans="1:26" ht="12.75" hidden="1" customHeight="1" x14ac:dyDescent="0.2">
      <c r="A892" s="259" t="s">
        <v>17</v>
      </c>
      <c r="B892" s="271">
        <v>803</v>
      </c>
      <c r="C892" s="252" t="s">
        <v>196</v>
      </c>
      <c r="D892" s="252" t="s">
        <v>200</v>
      </c>
      <c r="E892" s="252" t="s">
        <v>18</v>
      </c>
      <c r="F892" s="252"/>
      <c r="G892" s="257"/>
      <c r="H892" s="257"/>
      <c r="I892" s="257" t="e">
        <f>#REF!+G892</f>
        <v>#REF!</v>
      </c>
      <c r="J892" s="257" t="e">
        <f t="shared" si="1580"/>
        <v>#REF!</v>
      </c>
      <c r="K892" s="257" t="e">
        <f t="shared" si="1590"/>
        <v>#REF!</v>
      </c>
      <c r="L892" s="257" t="e">
        <f t="shared" si="1581"/>
        <v>#REF!</v>
      </c>
      <c r="M892" s="257" t="e">
        <f t="shared" si="1581"/>
        <v>#REF!</v>
      </c>
      <c r="N892" s="257" t="e">
        <f t="shared" si="1581"/>
        <v>#REF!</v>
      </c>
      <c r="O892" s="257" t="e">
        <f t="shared" si="1581"/>
        <v>#REF!</v>
      </c>
      <c r="P892" s="257" t="e">
        <f t="shared" si="1581"/>
        <v>#REF!</v>
      </c>
      <c r="Q892" s="257" t="e">
        <f t="shared" si="1581"/>
        <v>#REF!</v>
      </c>
      <c r="R892" s="257" t="e">
        <f t="shared" si="1494"/>
        <v>#REF!</v>
      </c>
      <c r="S892" s="257" t="e">
        <f t="shared" si="1582"/>
        <v>#REF!</v>
      </c>
      <c r="T892" s="257" t="e">
        <f t="shared" si="1583"/>
        <v>#REF!</v>
      </c>
      <c r="U892" s="257" t="e">
        <f t="shared" si="1584"/>
        <v>#REF!</v>
      </c>
      <c r="V892" s="257" t="e">
        <f t="shared" si="1585"/>
        <v>#REF!</v>
      </c>
      <c r="W892" s="257" t="e">
        <f t="shared" si="1586"/>
        <v>#REF!</v>
      </c>
      <c r="X892" s="257" t="e">
        <f t="shared" si="1587"/>
        <v>#REF!</v>
      </c>
      <c r="Y892" s="257" t="e">
        <f t="shared" si="1588"/>
        <v>#REF!</v>
      </c>
      <c r="Z892" s="257" t="e">
        <f t="shared" si="1589"/>
        <v>#REF!</v>
      </c>
    </row>
    <row r="893" spans="1:26" ht="12.75" hidden="1" customHeight="1" x14ac:dyDescent="0.2">
      <c r="A893" s="259" t="s">
        <v>320</v>
      </c>
      <c r="B893" s="271">
        <v>803</v>
      </c>
      <c r="C893" s="252" t="s">
        <v>196</v>
      </c>
      <c r="D893" s="252" t="s">
        <v>200</v>
      </c>
      <c r="E893" s="252" t="s">
        <v>18</v>
      </c>
      <c r="F893" s="252" t="s">
        <v>321</v>
      </c>
      <c r="G893" s="257"/>
      <c r="H893" s="257"/>
      <c r="I893" s="257" t="e">
        <f>#REF!+G893</f>
        <v>#REF!</v>
      </c>
      <c r="J893" s="257" t="e">
        <f t="shared" si="1580"/>
        <v>#REF!</v>
      </c>
      <c r="K893" s="257" t="e">
        <f t="shared" si="1590"/>
        <v>#REF!</v>
      </c>
      <c r="L893" s="257" t="e">
        <f t="shared" si="1581"/>
        <v>#REF!</v>
      </c>
      <c r="M893" s="257" t="e">
        <f t="shared" si="1581"/>
        <v>#REF!</v>
      </c>
      <c r="N893" s="257" t="e">
        <f t="shared" si="1581"/>
        <v>#REF!</v>
      </c>
      <c r="O893" s="257" t="e">
        <f t="shared" si="1581"/>
        <v>#REF!</v>
      </c>
      <c r="P893" s="257" t="e">
        <f t="shared" si="1581"/>
        <v>#REF!</v>
      </c>
      <c r="Q893" s="257" t="e">
        <f t="shared" si="1581"/>
        <v>#REF!</v>
      </c>
      <c r="R893" s="257" t="e">
        <f t="shared" si="1494"/>
        <v>#REF!</v>
      </c>
      <c r="S893" s="257" t="e">
        <f t="shared" si="1582"/>
        <v>#REF!</v>
      </c>
      <c r="T893" s="257" t="e">
        <f t="shared" si="1583"/>
        <v>#REF!</v>
      </c>
      <c r="U893" s="257" t="e">
        <f t="shared" si="1584"/>
        <v>#REF!</v>
      </c>
      <c r="V893" s="257" t="e">
        <f t="shared" si="1585"/>
        <v>#REF!</v>
      </c>
      <c r="W893" s="257" t="e">
        <f t="shared" si="1586"/>
        <v>#REF!</v>
      </c>
      <c r="X893" s="257" t="e">
        <f t="shared" si="1587"/>
        <v>#REF!</v>
      </c>
      <c r="Y893" s="257" t="e">
        <f t="shared" si="1588"/>
        <v>#REF!</v>
      </c>
      <c r="Z893" s="257" t="e">
        <f t="shared" si="1589"/>
        <v>#REF!</v>
      </c>
    </row>
    <row r="894" spans="1:26" ht="12.75" hidden="1" customHeight="1" x14ac:dyDescent="0.2">
      <c r="A894" s="462" t="s">
        <v>19</v>
      </c>
      <c r="B894" s="249">
        <v>803</v>
      </c>
      <c r="C894" s="250" t="s">
        <v>196</v>
      </c>
      <c r="D894" s="250" t="s">
        <v>202</v>
      </c>
      <c r="E894" s="250"/>
      <c r="F894" s="250"/>
      <c r="G894" s="257"/>
      <c r="H894" s="257"/>
      <c r="I894" s="257" t="e">
        <f>#REF!+G894</f>
        <v>#REF!</v>
      </c>
      <c r="J894" s="257" t="e">
        <f t="shared" si="1580"/>
        <v>#REF!</v>
      </c>
      <c r="K894" s="257" t="e">
        <f t="shared" si="1590"/>
        <v>#REF!</v>
      </c>
      <c r="L894" s="257" t="e">
        <f t="shared" si="1581"/>
        <v>#REF!</v>
      </c>
      <c r="M894" s="257" t="e">
        <f t="shared" si="1581"/>
        <v>#REF!</v>
      </c>
      <c r="N894" s="257" t="e">
        <f t="shared" si="1581"/>
        <v>#REF!</v>
      </c>
      <c r="O894" s="257" t="e">
        <f t="shared" si="1581"/>
        <v>#REF!</v>
      </c>
      <c r="P894" s="257" t="e">
        <f t="shared" si="1581"/>
        <v>#REF!</v>
      </c>
      <c r="Q894" s="257" t="e">
        <f t="shared" si="1581"/>
        <v>#REF!</v>
      </c>
      <c r="R894" s="257" t="e">
        <f t="shared" si="1494"/>
        <v>#REF!</v>
      </c>
      <c r="S894" s="257" t="e">
        <f t="shared" si="1582"/>
        <v>#REF!</v>
      </c>
      <c r="T894" s="257" t="e">
        <f t="shared" si="1583"/>
        <v>#REF!</v>
      </c>
      <c r="U894" s="257" t="e">
        <f t="shared" si="1584"/>
        <v>#REF!</v>
      </c>
      <c r="V894" s="257" t="e">
        <f t="shared" si="1585"/>
        <v>#REF!</v>
      </c>
      <c r="W894" s="257" t="e">
        <f t="shared" si="1586"/>
        <v>#REF!</v>
      </c>
      <c r="X894" s="257" t="e">
        <f t="shared" si="1587"/>
        <v>#REF!</v>
      </c>
      <c r="Y894" s="257" t="e">
        <f t="shared" si="1588"/>
        <v>#REF!</v>
      </c>
      <c r="Z894" s="257" t="e">
        <f t="shared" si="1589"/>
        <v>#REF!</v>
      </c>
    </row>
    <row r="895" spans="1:26" ht="12.75" hidden="1" customHeight="1" x14ac:dyDescent="0.2">
      <c r="A895" s="259" t="s">
        <v>20</v>
      </c>
      <c r="B895" s="271">
        <v>803</v>
      </c>
      <c r="C895" s="252" t="s">
        <v>196</v>
      </c>
      <c r="D895" s="252" t="s">
        <v>202</v>
      </c>
      <c r="E895" s="252" t="s">
        <v>21</v>
      </c>
      <c r="F895" s="252"/>
      <c r="G895" s="257"/>
      <c r="H895" s="257"/>
      <c r="I895" s="257" t="e">
        <f>#REF!+G895</f>
        <v>#REF!</v>
      </c>
      <c r="J895" s="257" t="e">
        <f t="shared" si="1580"/>
        <v>#REF!</v>
      </c>
      <c r="K895" s="257" t="e">
        <f t="shared" si="1590"/>
        <v>#REF!</v>
      </c>
      <c r="L895" s="257" t="e">
        <f t="shared" si="1581"/>
        <v>#REF!</v>
      </c>
      <c r="M895" s="257" t="e">
        <f t="shared" si="1581"/>
        <v>#REF!</v>
      </c>
      <c r="N895" s="257" t="e">
        <f t="shared" si="1581"/>
        <v>#REF!</v>
      </c>
      <c r="O895" s="257" t="e">
        <f t="shared" si="1581"/>
        <v>#REF!</v>
      </c>
      <c r="P895" s="257" t="e">
        <f t="shared" si="1581"/>
        <v>#REF!</v>
      </c>
      <c r="Q895" s="257" t="e">
        <f t="shared" si="1581"/>
        <v>#REF!</v>
      </c>
      <c r="R895" s="257" t="e">
        <f t="shared" ref="R895:R958" si="1591">P895+Q895</f>
        <v>#REF!</v>
      </c>
      <c r="S895" s="257" t="e">
        <f t="shared" si="1582"/>
        <v>#REF!</v>
      </c>
      <c r="T895" s="257" t="e">
        <f t="shared" si="1583"/>
        <v>#REF!</v>
      </c>
      <c r="U895" s="257" t="e">
        <f t="shared" si="1584"/>
        <v>#REF!</v>
      </c>
      <c r="V895" s="257" t="e">
        <f t="shared" si="1585"/>
        <v>#REF!</v>
      </c>
      <c r="W895" s="257" t="e">
        <f t="shared" si="1586"/>
        <v>#REF!</v>
      </c>
      <c r="X895" s="257" t="e">
        <f t="shared" si="1587"/>
        <v>#REF!</v>
      </c>
      <c r="Y895" s="257" t="e">
        <f t="shared" si="1588"/>
        <v>#REF!</v>
      </c>
      <c r="Z895" s="257" t="e">
        <f t="shared" si="1589"/>
        <v>#REF!</v>
      </c>
    </row>
    <row r="896" spans="1:26" ht="12.75" hidden="1" customHeight="1" x14ac:dyDescent="0.2">
      <c r="A896" s="259" t="s">
        <v>22</v>
      </c>
      <c r="B896" s="271">
        <v>803</v>
      </c>
      <c r="C896" s="252" t="s">
        <v>196</v>
      </c>
      <c r="D896" s="252" t="s">
        <v>202</v>
      </c>
      <c r="E896" s="252" t="s">
        <v>23</v>
      </c>
      <c r="F896" s="252"/>
      <c r="G896" s="257"/>
      <c r="H896" s="257"/>
      <c r="I896" s="257" t="e">
        <f>#REF!+G896</f>
        <v>#REF!</v>
      </c>
      <c r="J896" s="257" t="e">
        <f t="shared" si="1580"/>
        <v>#REF!</v>
      </c>
      <c r="K896" s="257" t="e">
        <f t="shared" si="1590"/>
        <v>#REF!</v>
      </c>
      <c r="L896" s="257" t="e">
        <f t="shared" si="1581"/>
        <v>#REF!</v>
      </c>
      <c r="M896" s="257" t="e">
        <f t="shared" si="1581"/>
        <v>#REF!</v>
      </c>
      <c r="N896" s="257" t="e">
        <f t="shared" si="1581"/>
        <v>#REF!</v>
      </c>
      <c r="O896" s="257" t="e">
        <f t="shared" si="1581"/>
        <v>#REF!</v>
      </c>
      <c r="P896" s="257" t="e">
        <f t="shared" si="1581"/>
        <v>#REF!</v>
      </c>
      <c r="Q896" s="257" t="e">
        <f t="shared" si="1581"/>
        <v>#REF!</v>
      </c>
      <c r="R896" s="257" t="e">
        <f t="shared" si="1591"/>
        <v>#REF!</v>
      </c>
      <c r="S896" s="257" t="e">
        <f t="shared" si="1582"/>
        <v>#REF!</v>
      </c>
      <c r="T896" s="257" t="e">
        <f t="shared" si="1583"/>
        <v>#REF!</v>
      </c>
      <c r="U896" s="257" t="e">
        <f t="shared" si="1584"/>
        <v>#REF!</v>
      </c>
      <c r="V896" s="257" t="e">
        <f t="shared" si="1585"/>
        <v>#REF!</v>
      </c>
      <c r="W896" s="257" t="e">
        <f t="shared" si="1586"/>
        <v>#REF!</v>
      </c>
      <c r="X896" s="257" t="e">
        <f t="shared" si="1587"/>
        <v>#REF!</v>
      </c>
      <c r="Y896" s="257" t="e">
        <f t="shared" si="1588"/>
        <v>#REF!</v>
      </c>
      <c r="Z896" s="257" t="e">
        <f t="shared" si="1589"/>
        <v>#REF!</v>
      </c>
    </row>
    <row r="897" spans="1:26" ht="12.75" hidden="1" customHeight="1" x14ac:dyDescent="0.2">
      <c r="A897" s="259" t="s">
        <v>24</v>
      </c>
      <c r="B897" s="271">
        <v>803</v>
      </c>
      <c r="C897" s="252" t="s">
        <v>196</v>
      </c>
      <c r="D897" s="252" t="s">
        <v>202</v>
      </c>
      <c r="E897" s="252" t="s">
        <v>23</v>
      </c>
      <c r="F897" s="252" t="s">
        <v>301</v>
      </c>
      <c r="G897" s="257"/>
      <c r="H897" s="257"/>
      <c r="I897" s="257" t="e">
        <f>#REF!+G897</f>
        <v>#REF!</v>
      </c>
      <c r="J897" s="257" t="e">
        <f t="shared" si="1580"/>
        <v>#REF!</v>
      </c>
      <c r="K897" s="257" t="e">
        <f t="shared" si="1590"/>
        <v>#REF!</v>
      </c>
      <c r="L897" s="257" t="e">
        <f t="shared" si="1581"/>
        <v>#REF!</v>
      </c>
      <c r="M897" s="257" t="e">
        <f t="shared" si="1581"/>
        <v>#REF!</v>
      </c>
      <c r="N897" s="257" t="e">
        <f t="shared" si="1581"/>
        <v>#REF!</v>
      </c>
      <c r="O897" s="257" t="e">
        <f t="shared" si="1581"/>
        <v>#REF!</v>
      </c>
      <c r="P897" s="257" t="e">
        <f t="shared" si="1581"/>
        <v>#REF!</v>
      </c>
      <c r="Q897" s="257" t="e">
        <f t="shared" si="1581"/>
        <v>#REF!</v>
      </c>
      <c r="R897" s="257" t="e">
        <f t="shared" si="1591"/>
        <v>#REF!</v>
      </c>
      <c r="S897" s="257" t="e">
        <f t="shared" si="1582"/>
        <v>#REF!</v>
      </c>
      <c r="T897" s="257" t="e">
        <f t="shared" si="1583"/>
        <v>#REF!</v>
      </c>
      <c r="U897" s="257" t="e">
        <f t="shared" si="1584"/>
        <v>#REF!</v>
      </c>
      <c r="V897" s="257" t="e">
        <f t="shared" si="1585"/>
        <v>#REF!</v>
      </c>
      <c r="W897" s="257" t="e">
        <f t="shared" si="1586"/>
        <v>#REF!</v>
      </c>
      <c r="X897" s="257" t="e">
        <f t="shared" si="1587"/>
        <v>#REF!</v>
      </c>
      <c r="Y897" s="257" t="e">
        <f t="shared" si="1588"/>
        <v>#REF!</v>
      </c>
      <c r="Z897" s="257" t="e">
        <f t="shared" si="1589"/>
        <v>#REF!</v>
      </c>
    </row>
    <row r="898" spans="1:26" ht="12.75" hidden="1" customHeight="1" x14ac:dyDescent="0.2">
      <c r="A898" s="259" t="s">
        <v>320</v>
      </c>
      <c r="B898" s="271">
        <v>803</v>
      </c>
      <c r="C898" s="252" t="s">
        <v>196</v>
      </c>
      <c r="D898" s="252" t="s">
        <v>202</v>
      </c>
      <c r="E898" s="252" t="s">
        <v>23</v>
      </c>
      <c r="F898" s="252" t="s">
        <v>321</v>
      </c>
      <c r="G898" s="257"/>
      <c r="H898" s="257"/>
      <c r="I898" s="257" t="e">
        <f>#REF!+G898</f>
        <v>#REF!</v>
      </c>
      <c r="J898" s="257" t="e">
        <f t="shared" si="1580"/>
        <v>#REF!</v>
      </c>
      <c r="K898" s="257" t="e">
        <f t="shared" si="1590"/>
        <v>#REF!</v>
      </c>
      <c r="L898" s="257" t="e">
        <f t="shared" si="1581"/>
        <v>#REF!</v>
      </c>
      <c r="M898" s="257" t="e">
        <f t="shared" si="1581"/>
        <v>#REF!</v>
      </c>
      <c r="N898" s="257" t="e">
        <f t="shared" si="1581"/>
        <v>#REF!</v>
      </c>
      <c r="O898" s="257" t="e">
        <f t="shared" si="1581"/>
        <v>#REF!</v>
      </c>
      <c r="P898" s="257" t="e">
        <f t="shared" si="1581"/>
        <v>#REF!</v>
      </c>
      <c r="Q898" s="257" t="e">
        <f t="shared" si="1581"/>
        <v>#REF!</v>
      </c>
      <c r="R898" s="257" t="e">
        <f t="shared" si="1591"/>
        <v>#REF!</v>
      </c>
      <c r="S898" s="257" t="e">
        <f t="shared" si="1582"/>
        <v>#REF!</v>
      </c>
      <c r="T898" s="257" t="e">
        <f t="shared" si="1583"/>
        <v>#REF!</v>
      </c>
      <c r="U898" s="257" t="e">
        <f t="shared" si="1584"/>
        <v>#REF!</v>
      </c>
      <c r="V898" s="257" t="e">
        <f t="shared" si="1585"/>
        <v>#REF!</v>
      </c>
      <c r="W898" s="257" t="e">
        <f t="shared" si="1586"/>
        <v>#REF!</v>
      </c>
      <c r="X898" s="257" t="e">
        <f t="shared" si="1587"/>
        <v>#REF!</v>
      </c>
      <c r="Y898" s="257" t="e">
        <f t="shared" si="1588"/>
        <v>#REF!</v>
      </c>
      <c r="Z898" s="257" t="e">
        <f t="shared" si="1589"/>
        <v>#REF!</v>
      </c>
    </row>
    <row r="899" spans="1:26" ht="12.75" hidden="1" customHeight="1" x14ac:dyDescent="0.2">
      <c r="A899" s="259" t="s">
        <v>149</v>
      </c>
      <c r="B899" s="271">
        <v>803</v>
      </c>
      <c r="C899" s="252" t="s">
        <v>196</v>
      </c>
      <c r="D899" s="252" t="s">
        <v>202</v>
      </c>
      <c r="E899" s="252" t="s">
        <v>23</v>
      </c>
      <c r="F899" s="252" t="s">
        <v>150</v>
      </c>
      <c r="G899" s="257"/>
      <c r="H899" s="257"/>
      <c r="I899" s="257" t="e">
        <f>#REF!+G899</f>
        <v>#REF!</v>
      </c>
      <c r="J899" s="257" t="e">
        <f t="shared" si="1580"/>
        <v>#REF!</v>
      </c>
      <c r="K899" s="257" t="e">
        <f t="shared" si="1590"/>
        <v>#REF!</v>
      </c>
      <c r="L899" s="257" t="e">
        <f t="shared" si="1581"/>
        <v>#REF!</v>
      </c>
      <c r="M899" s="257" t="e">
        <f t="shared" si="1581"/>
        <v>#REF!</v>
      </c>
      <c r="N899" s="257" t="e">
        <f t="shared" si="1581"/>
        <v>#REF!</v>
      </c>
      <c r="O899" s="257" t="e">
        <f t="shared" si="1581"/>
        <v>#REF!</v>
      </c>
      <c r="P899" s="257" t="e">
        <f t="shared" si="1581"/>
        <v>#REF!</v>
      </c>
      <c r="Q899" s="257" t="e">
        <f t="shared" si="1581"/>
        <v>#REF!</v>
      </c>
      <c r="R899" s="257" t="e">
        <f t="shared" si="1591"/>
        <v>#REF!</v>
      </c>
      <c r="S899" s="257" t="e">
        <f t="shared" si="1582"/>
        <v>#REF!</v>
      </c>
      <c r="T899" s="257" t="e">
        <f t="shared" si="1583"/>
        <v>#REF!</v>
      </c>
      <c r="U899" s="257" t="e">
        <f t="shared" si="1584"/>
        <v>#REF!</v>
      </c>
      <c r="V899" s="257" t="e">
        <f t="shared" si="1585"/>
        <v>#REF!</v>
      </c>
      <c r="W899" s="257" t="e">
        <f t="shared" si="1586"/>
        <v>#REF!</v>
      </c>
      <c r="X899" s="257" t="e">
        <f t="shared" si="1587"/>
        <v>#REF!</v>
      </c>
      <c r="Y899" s="257" t="e">
        <f t="shared" si="1588"/>
        <v>#REF!</v>
      </c>
      <c r="Z899" s="257" t="e">
        <f t="shared" si="1589"/>
        <v>#REF!</v>
      </c>
    </row>
    <row r="900" spans="1:26" ht="12.75" hidden="1" customHeight="1" x14ac:dyDescent="0.2">
      <c r="A900" s="462" t="s">
        <v>25</v>
      </c>
      <c r="B900" s="249">
        <v>803</v>
      </c>
      <c r="C900" s="250" t="s">
        <v>200</v>
      </c>
      <c r="D900" s="250"/>
      <c r="E900" s="250"/>
      <c r="F900" s="250"/>
      <c r="G900" s="257"/>
      <c r="H900" s="257"/>
      <c r="I900" s="257" t="e">
        <f>#REF!+G900</f>
        <v>#REF!</v>
      </c>
      <c r="J900" s="257" t="e">
        <f t="shared" si="1580"/>
        <v>#REF!</v>
      </c>
      <c r="K900" s="257" t="e">
        <f t="shared" si="1590"/>
        <v>#REF!</v>
      </c>
      <c r="L900" s="257" t="e">
        <f t="shared" si="1581"/>
        <v>#REF!</v>
      </c>
      <c r="M900" s="257" t="e">
        <f t="shared" si="1581"/>
        <v>#REF!</v>
      </c>
      <c r="N900" s="257" t="e">
        <f t="shared" si="1581"/>
        <v>#REF!</v>
      </c>
      <c r="O900" s="257" t="e">
        <f t="shared" si="1581"/>
        <v>#REF!</v>
      </c>
      <c r="P900" s="257" t="e">
        <f t="shared" si="1581"/>
        <v>#REF!</v>
      </c>
      <c r="Q900" s="257" t="e">
        <f t="shared" si="1581"/>
        <v>#REF!</v>
      </c>
      <c r="R900" s="257" t="e">
        <f t="shared" si="1591"/>
        <v>#REF!</v>
      </c>
      <c r="S900" s="257" t="e">
        <f t="shared" si="1582"/>
        <v>#REF!</v>
      </c>
      <c r="T900" s="257" t="e">
        <f t="shared" si="1583"/>
        <v>#REF!</v>
      </c>
      <c r="U900" s="257" t="e">
        <f t="shared" si="1584"/>
        <v>#REF!</v>
      </c>
      <c r="V900" s="257" t="e">
        <f t="shared" si="1585"/>
        <v>#REF!</v>
      </c>
      <c r="W900" s="257" t="e">
        <f t="shared" si="1586"/>
        <v>#REF!</v>
      </c>
      <c r="X900" s="257" t="e">
        <f t="shared" si="1587"/>
        <v>#REF!</v>
      </c>
      <c r="Y900" s="257" t="e">
        <f t="shared" si="1588"/>
        <v>#REF!</v>
      </c>
      <c r="Z900" s="257" t="e">
        <f t="shared" si="1589"/>
        <v>#REF!</v>
      </c>
    </row>
    <row r="901" spans="1:26" ht="25.5" hidden="1" customHeight="1" x14ac:dyDescent="0.2">
      <c r="A901" s="462" t="s">
        <v>26</v>
      </c>
      <c r="B901" s="249">
        <v>803</v>
      </c>
      <c r="C901" s="250" t="s">
        <v>200</v>
      </c>
      <c r="D901" s="250" t="s">
        <v>194</v>
      </c>
      <c r="E901" s="252"/>
      <c r="F901" s="252"/>
      <c r="G901" s="257"/>
      <c r="H901" s="257"/>
      <c r="I901" s="257" t="e">
        <f>#REF!+G901</f>
        <v>#REF!</v>
      </c>
      <c r="J901" s="257" t="e">
        <f t="shared" si="1580"/>
        <v>#REF!</v>
      </c>
      <c r="K901" s="257" t="e">
        <f t="shared" si="1590"/>
        <v>#REF!</v>
      </c>
      <c r="L901" s="257" t="e">
        <f t="shared" si="1581"/>
        <v>#REF!</v>
      </c>
      <c r="M901" s="257" t="e">
        <f t="shared" si="1581"/>
        <v>#REF!</v>
      </c>
      <c r="N901" s="257" t="e">
        <f t="shared" si="1581"/>
        <v>#REF!</v>
      </c>
      <c r="O901" s="257" t="e">
        <f t="shared" si="1581"/>
        <v>#REF!</v>
      </c>
      <c r="P901" s="257" t="e">
        <f t="shared" si="1581"/>
        <v>#REF!</v>
      </c>
      <c r="Q901" s="257" t="e">
        <f t="shared" si="1581"/>
        <v>#REF!</v>
      </c>
      <c r="R901" s="257" t="e">
        <f t="shared" si="1591"/>
        <v>#REF!</v>
      </c>
      <c r="S901" s="257" t="e">
        <f t="shared" si="1582"/>
        <v>#REF!</v>
      </c>
      <c r="T901" s="257" t="e">
        <f t="shared" si="1583"/>
        <v>#REF!</v>
      </c>
      <c r="U901" s="257" t="e">
        <f t="shared" si="1584"/>
        <v>#REF!</v>
      </c>
      <c r="V901" s="257" t="e">
        <f t="shared" si="1585"/>
        <v>#REF!</v>
      </c>
      <c r="W901" s="257" t="e">
        <f t="shared" si="1586"/>
        <v>#REF!</v>
      </c>
      <c r="X901" s="257" t="e">
        <f t="shared" si="1587"/>
        <v>#REF!</v>
      </c>
      <c r="Y901" s="257" t="e">
        <f t="shared" si="1588"/>
        <v>#REF!</v>
      </c>
      <c r="Z901" s="257" t="e">
        <f t="shared" si="1589"/>
        <v>#REF!</v>
      </c>
    </row>
    <row r="902" spans="1:26" ht="12.75" hidden="1" customHeight="1" x14ac:dyDescent="0.2">
      <c r="A902" s="259" t="s">
        <v>27</v>
      </c>
      <c r="B902" s="271">
        <v>803</v>
      </c>
      <c r="C902" s="252" t="s">
        <v>200</v>
      </c>
      <c r="D902" s="252" t="s">
        <v>194</v>
      </c>
      <c r="E902" s="252" t="s">
        <v>28</v>
      </c>
      <c r="F902" s="252"/>
      <c r="G902" s="257"/>
      <c r="H902" s="257"/>
      <c r="I902" s="257" t="e">
        <f>#REF!+G902</f>
        <v>#REF!</v>
      </c>
      <c r="J902" s="257" t="e">
        <f t="shared" si="1580"/>
        <v>#REF!</v>
      </c>
      <c r="K902" s="257" t="e">
        <f t="shared" si="1590"/>
        <v>#REF!</v>
      </c>
      <c r="L902" s="257" t="e">
        <f t="shared" si="1581"/>
        <v>#REF!</v>
      </c>
      <c r="M902" s="257" t="e">
        <f t="shared" si="1581"/>
        <v>#REF!</v>
      </c>
      <c r="N902" s="257" t="e">
        <f t="shared" si="1581"/>
        <v>#REF!</v>
      </c>
      <c r="O902" s="257" t="e">
        <f t="shared" si="1581"/>
        <v>#REF!</v>
      </c>
      <c r="P902" s="257" t="e">
        <f t="shared" si="1581"/>
        <v>#REF!</v>
      </c>
      <c r="Q902" s="257" t="e">
        <f t="shared" si="1581"/>
        <v>#REF!</v>
      </c>
      <c r="R902" s="257" t="e">
        <f t="shared" si="1591"/>
        <v>#REF!</v>
      </c>
      <c r="S902" s="257" t="e">
        <f t="shared" si="1582"/>
        <v>#REF!</v>
      </c>
      <c r="T902" s="257" t="e">
        <f t="shared" si="1583"/>
        <v>#REF!</v>
      </c>
      <c r="U902" s="257" t="e">
        <f t="shared" si="1584"/>
        <v>#REF!</v>
      </c>
      <c r="V902" s="257" t="e">
        <f t="shared" si="1585"/>
        <v>#REF!</v>
      </c>
      <c r="W902" s="257" t="e">
        <f t="shared" si="1586"/>
        <v>#REF!</v>
      </c>
      <c r="X902" s="257" t="e">
        <f t="shared" si="1587"/>
        <v>#REF!</v>
      </c>
      <c r="Y902" s="257" t="e">
        <f t="shared" si="1588"/>
        <v>#REF!</v>
      </c>
      <c r="Z902" s="257" t="e">
        <f t="shared" si="1589"/>
        <v>#REF!</v>
      </c>
    </row>
    <row r="903" spans="1:26" ht="12.75" hidden="1" customHeight="1" x14ac:dyDescent="0.2">
      <c r="A903" s="259" t="s">
        <v>299</v>
      </c>
      <c r="B903" s="271">
        <v>803</v>
      </c>
      <c r="C903" s="252" t="s">
        <v>200</v>
      </c>
      <c r="D903" s="252" t="s">
        <v>194</v>
      </c>
      <c r="E903" s="252" t="s">
        <v>29</v>
      </c>
      <c r="F903" s="252"/>
      <c r="G903" s="257"/>
      <c r="H903" s="257"/>
      <c r="I903" s="257" t="e">
        <f>#REF!+G903</f>
        <v>#REF!</v>
      </c>
      <c r="J903" s="257" t="e">
        <f t="shared" si="1580"/>
        <v>#REF!</v>
      </c>
      <c r="K903" s="257" t="e">
        <f t="shared" si="1590"/>
        <v>#REF!</v>
      </c>
      <c r="L903" s="257" t="e">
        <f t="shared" si="1581"/>
        <v>#REF!</v>
      </c>
      <c r="M903" s="257" t="e">
        <f t="shared" si="1581"/>
        <v>#REF!</v>
      </c>
      <c r="N903" s="257" t="e">
        <f t="shared" si="1581"/>
        <v>#REF!</v>
      </c>
      <c r="O903" s="257" t="e">
        <f t="shared" si="1581"/>
        <v>#REF!</v>
      </c>
      <c r="P903" s="257" t="e">
        <f t="shared" si="1581"/>
        <v>#REF!</v>
      </c>
      <c r="Q903" s="257" t="e">
        <f t="shared" si="1581"/>
        <v>#REF!</v>
      </c>
      <c r="R903" s="257" t="e">
        <f t="shared" si="1591"/>
        <v>#REF!</v>
      </c>
      <c r="S903" s="257" t="e">
        <f t="shared" si="1582"/>
        <v>#REF!</v>
      </c>
      <c r="T903" s="257" t="e">
        <f t="shared" si="1583"/>
        <v>#REF!</v>
      </c>
      <c r="U903" s="257" t="e">
        <f t="shared" si="1584"/>
        <v>#REF!</v>
      </c>
      <c r="V903" s="257" t="e">
        <f t="shared" si="1585"/>
        <v>#REF!</v>
      </c>
      <c r="W903" s="257" t="e">
        <f t="shared" si="1586"/>
        <v>#REF!</v>
      </c>
      <c r="X903" s="257" t="e">
        <f t="shared" si="1587"/>
        <v>#REF!</v>
      </c>
      <c r="Y903" s="257" t="e">
        <f t="shared" si="1588"/>
        <v>#REF!</v>
      </c>
      <c r="Z903" s="257" t="e">
        <f t="shared" si="1589"/>
        <v>#REF!</v>
      </c>
    </row>
    <row r="904" spans="1:26" ht="12.75" hidden="1" customHeight="1" x14ac:dyDescent="0.2">
      <c r="A904" s="259" t="s">
        <v>300</v>
      </c>
      <c r="B904" s="271">
        <v>803</v>
      </c>
      <c r="C904" s="252" t="s">
        <v>200</v>
      </c>
      <c r="D904" s="252" t="s">
        <v>194</v>
      </c>
      <c r="E904" s="252" t="s">
        <v>29</v>
      </c>
      <c r="F904" s="252" t="s">
        <v>301</v>
      </c>
      <c r="G904" s="257"/>
      <c r="H904" s="257"/>
      <c r="I904" s="257" t="e">
        <f>#REF!+G904</f>
        <v>#REF!</v>
      </c>
      <c r="J904" s="257" t="e">
        <f t="shared" si="1580"/>
        <v>#REF!</v>
      </c>
      <c r="K904" s="257" t="e">
        <f t="shared" si="1590"/>
        <v>#REF!</v>
      </c>
      <c r="L904" s="257" t="e">
        <f t="shared" si="1581"/>
        <v>#REF!</v>
      </c>
      <c r="M904" s="257" t="e">
        <f t="shared" si="1581"/>
        <v>#REF!</v>
      </c>
      <c r="N904" s="257" t="e">
        <f t="shared" si="1581"/>
        <v>#REF!</v>
      </c>
      <c r="O904" s="257" t="e">
        <f t="shared" si="1581"/>
        <v>#REF!</v>
      </c>
      <c r="P904" s="257" t="e">
        <f t="shared" si="1581"/>
        <v>#REF!</v>
      </c>
      <c r="Q904" s="257" t="e">
        <f t="shared" si="1581"/>
        <v>#REF!</v>
      </c>
      <c r="R904" s="257" t="e">
        <f t="shared" si="1591"/>
        <v>#REF!</v>
      </c>
      <c r="S904" s="257" t="e">
        <f t="shared" si="1582"/>
        <v>#REF!</v>
      </c>
      <c r="T904" s="257" t="e">
        <f t="shared" si="1583"/>
        <v>#REF!</v>
      </c>
      <c r="U904" s="257" t="e">
        <f t="shared" si="1584"/>
        <v>#REF!</v>
      </c>
      <c r="V904" s="257" t="e">
        <f t="shared" si="1585"/>
        <v>#REF!</v>
      </c>
      <c r="W904" s="257" t="e">
        <f t="shared" si="1586"/>
        <v>#REF!</v>
      </c>
      <c r="X904" s="257" t="e">
        <f t="shared" si="1587"/>
        <v>#REF!</v>
      </c>
      <c r="Y904" s="257" t="e">
        <f t="shared" si="1588"/>
        <v>#REF!</v>
      </c>
      <c r="Z904" s="257" t="e">
        <f t="shared" si="1589"/>
        <v>#REF!</v>
      </c>
    </row>
    <row r="905" spans="1:26" ht="12.75" hidden="1" customHeight="1" x14ac:dyDescent="0.2">
      <c r="A905" s="259" t="s">
        <v>338</v>
      </c>
      <c r="B905" s="271">
        <v>803</v>
      </c>
      <c r="C905" s="252" t="s">
        <v>200</v>
      </c>
      <c r="D905" s="252" t="s">
        <v>194</v>
      </c>
      <c r="E905" s="252" t="s">
        <v>29</v>
      </c>
      <c r="F905" s="252" t="s">
        <v>339</v>
      </c>
      <c r="G905" s="257"/>
      <c r="H905" s="257"/>
      <c r="I905" s="257" t="e">
        <f>#REF!+G905</f>
        <v>#REF!</v>
      </c>
      <c r="J905" s="257" t="e">
        <f t="shared" si="1580"/>
        <v>#REF!</v>
      </c>
      <c r="K905" s="257" t="e">
        <f t="shared" si="1590"/>
        <v>#REF!</v>
      </c>
      <c r="L905" s="257" t="e">
        <f t="shared" si="1581"/>
        <v>#REF!</v>
      </c>
      <c r="M905" s="257" t="e">
        <f t="shared" si="1581"/>
        <v>#REF!</v>
      </c>
      <c r="N905" s="257" t="e">
        <f t="shared" si="1581"/>
        <v>#REF!</v>
      </c>
      <c r="O905" s="257" t="e">
        <f t="shared" si="1581"/>
        <v>#REF!</v>
      </c>
      <c r="P905" s="257" t="e">
        <f t="shared" si="1581"/>
        <v>#REF!</v>
      </c>
      <c r="Q905" s="257" t="e">
        <f t="shared" si="1581"/>
        <v>#REF!</v>
      </c>
      <c r="R905" s="257" t="e">
        <f t="shared" si="1591"/>
        <v>#REF!</v>
      </c>
      <c r="S905" s="257" t="e">
        <f t="shared" si="1582"/>
        <v>#REF!</v>
      </c>
      <c r="T905" s="257" t="e">
        <f t="shared" si="1583"/>
        <v>#REF!</v>
      </c>
      <c r="U905" s="257" t="e">
        <f t="shared" si="1584"/>
        <v>#REF!</v>
      </c>
      <c r="V905" s="257" t="e">
        <f t="shared" si="1585"/>
        <v>#REF!</v>
      </c>
      <c r="W905" s="257" t="e">
        <f t="shared" si="1586"/>
        <v>#REF!</v>
      </c>
      <c r="X905" s="257" t="e">
        <f t="shared" si="1587"/>
        <v>#REF!</v>
      </c>
      <c r="Y905" s="257" t="e">
        <f t="shared" si="1588"/>
        <v>#REF!</v>
      </c>
      <c r="Z905" s="257" t="e">
        <f t="shared" si="1589"/>
        <v>#REF!</v>
      </c>
    </row>
    <row r="906" spans="1:26" ht="25.5" hidden="1" customHeight="1" x14ac:dyDescent="0.2">
      <c r="A906" s="259" t="s">
        <v>147</v>
      </c>
      <c r="B906" s="271">
        <v>803</v>
      </c>
      <c r="C906" s="252" t="s">
        <v>200</v>
      </c>
      <c r="D906" s="252" t="s">
        <v>194</v>
      </c>
      <c r="E906" s="252" t="s">
        <v>30</v>
      </c>
      <c r="F906" s="252"/>
      <c r="G906" s="257"/>
      <c r="H906" s="257"/>
      <c r="I906" s="257" t="e">
        <f>#REF!+G906</f>
        <v>#REF!</v>
      </c>
      <c r="J906" s="257" t="e">
        <f t="shared" si="1580"/>
        <v>#REF!</v>
      </c>
      <c r="K906" s="257" t="e">
        <f t="shared" si="1590"/>
        <v>#REF!</v>
      </c>
      <c r="L906" s="257" t="e">
        <f t="shared" si="1581"/>
        <v>#REF!</v>
      </c>
      <c r="M906" s="257" t="e">
        <f t="shared" si="1581"/>
        <v>#REF!</v>
      </c>
      <c r="N906" s="257" t="e">
        <f t="shared" si="1581"/>
        <v>#REF!</v>
      </c>
      <c r="O906" s="257" t="e">
        <f t="shared" si="1581"/>
        <v>#REF!</v>
      </c>
      <c r="P906" s="257" t="e">
        <f t="shared" si="1581"/>
        <v>#REF!</v>
      </c>
      <c r="Q906" s="257" t="e">
        <f t="shared" si="1581"/>
        <v>#REF!</v>
      </c>
      <c r="R906" s="257" t="e">
        <f t="shared" si="1591"/>
        <v>#REF!</v>
      </c>
      <c r="S906" s="257" t="e">
        <f t="shared" si="1582"/>
        <v>#REF!</v>
      </c>
      <c r="T906" s="257" t="e">
        <f t="shared" si="1583"/>
        <v>#REF!</v>
      </c>
      <c r="U906" s="257" t="e">
        <f t="shared" si="1584"/>
        <v>#REF!</v>
      </c>
      <c r="V906" s="257" t="e">
        <f t="shared" si="1585"/>
        <v>#REF!</v>
      </c>
      <c r="W906" s="257" t="e">
        <f t="shared" si="1586"/>
        <v>#REF!</v>
      </c>
      <c r="X906" s="257" t="e">
        <f t="shared" si="1587"/>
        <v>#REF!</v>
      </c>
      <c r="Y906" s="257" t="e">
        <f t="shared" si="1588"/>
        <v>#REF!</v>
      </c>
      <c r="Z906" s="257" t="e">
        <f t="shared" si="1589"/>
        <v>#REF!</v>
      </c>
    </row>
    <row r="907" spans="1:26" ht="12.75" hidden="1" customHeight="1" x14ac:dyDescent="0.2">
      <c r="A907" s="259" t="s">
        <v>300</v>
      </c>
      <c r="B907" s="271">
        <v>803</v>
      </c>
      <c r="C907" s="252" t="s">
        <v>200</v>
      </c>
      <c r="D907" s="252" t="s">
        <v>194</v>
      </c>
      <c r="E907" s="252" t="s">
        <v>30</v>
      </c>
      <c r="F907" s="252" t="s">
        <v>301</v>
      </c>
      <c r="G907" s="257"/>
      <c r="H907" s="257"/>
      <c r="I907" s="257" t="e">
        <f>#REF!+G907</f>
        <v>#REF!</v>
      </c>
      <c r="J907" s="257" t="e">
        <f t="shared" si="1580"/>
        <v>#REF!</v>
      </c>
      <c r="K907" s="257" t="e">
        <f t="shared" si="1590"/>
        <v>#REF!</v>
      </c>
      <c r="L907" s="257" t="e">
        <f t="shared" si="1581"/>
        <v>#REF!</v>
      </c>
      <c r="M907" s="257" t="e">
        <f t="shared" si="1581"/>
        <v>#REF!</v>
      </c>
      <c r="N907" s="257" t="e">
        <f t="shared" si="1581"/>
        <v>#REF!</v>
      </c>
      <c r="O907" s="257" t="e">
        <f t="shared" si="1581"/>
        <v>#REF!</v>
      </c>
      <c r="P907" s="257" t="e">
        <f t="shared" si="1581"/>
        <v>#REF!</v>
      </c>
      <c r="Q907" s="257" t="e">
        <f t="shared" si="1581"/>
        <v>#REF!</v>
      </c>
      <c r="R907" s="257" t="e">
        <f t="shared" si="1591"/>
        <v>#REF!</v>
      </c>
      <c r="S907" s="257" t="e">
        <f t="shared" si="1582"/>
        <v>#REF!</v>
      </c>
      <c r="T907" s="257" t="e">
        <f t="shared" si="1583"/>
        <v>#REF!</v>
      </c>
      <c r="U907" s="257" t="e">
        <f t="shared" si="1584"/>
        <v>#REF!</v>
      </c>
      <c r="V907" s="257" t="e">
        <f t="shared" si="1585"/>
        <v>#REF!</v>
      </c>
      <c r="W907" s="257" t="e">
        <f t="shared" si="1586"/>
        <v>#REF!</v>
      </c>
      <c r="X907" s="257" t="e">
        <f t="shared" si="1587"/>
        <v>#REF!</v>
      </c>
      <c r="Y907" s="257" t="e">
        <f t="shared" si="1588"/>
        <v>#REF!</v>
      </c>
      <c r="Z907" s="257" t="e">
        <f t="shared" si="1589"/>
        <v>#REF!</v>
      </c>
    </row>
    <row r="908" spans="1:26" ht="12.75" hidden="1" customHeight="1" x14ac:dyDescent="0.2">
      <c r="A908" s="259" t="s">
        <v>324</v>
      </c>
      <c r="B908" s="271">
        <v>803</v>
      </c>
      <c r="C908" s="252" t="s">
        <v>200</v>
      </c>
      <c r="D908" s="252" t="s">
        <v>194</v>
      </c>
      <c r="E908" s="252" t="s">
        <v>325</v>
      </c>
      <c r="F908" s="252"/>
      <c r="G908" s="257"/>
      <c r="H908" s="257"/>
      <c r="I908" s="257" t="e">
        <f>#REF!+G908</f>
        <v>#REF!</v>
      </c>
      <c r="J908" s="257" t="e">
        <f t="shared" si="1580"/>
        <v>#REF!</v>
      </c>
      <c r="K908" s="257" t="e">
        <f t="shared" si="1590"/>
        <v>#REF!</v>
      </c>
      <c r="L908" s="257" t="e">
        <f t="shared" si="1581"/>
        <v>#REF!</v>
      </c>
      <c r="M908" s="257" t="e">
        <f t="shared" si="1581"/>
        <v>#REF!</v>
      </c>
      <c r="N908" s="257" t="e">
        <f t="shared" si="1581"/>
        <v>#REF!</v>
      </c>
      <c r="O908" s="257" t="e">
        <f t="shared" si="1581"/>
        <v>#REF!</v>
      </c>
      <c r="P908" s="257" t="e">
        <f t="shared" si="1581"/>
        <v>#REF!</v>
      </c>
      <c r="Q908" s="257" t="e">
        <f t="shared" si="1581"/>
        <v>#REF!</v>
      </c>
      <c r="R908" s="257" t="e">
        <f t="shared" si="1591"/>
        <v>#REF!</v>
      </c>
      <c r="S908" s="257" t="e">
        <f t="shared" si="1582"/>
        <v>#REF!</v>
      </c>
      <c r="T908" s="257" t="e">
        <f t="shared" si="1583"/>
        <v>#REF!</v>
      </c>
      <c r="U908" s="257" t="e">
        <f t="shared" si="1584"/>
        <v>#REF!</v>
      </c>
      <c r="V908" s="257" t="e">
        <f t="shared" si="1585"/>
        <v>#REF!</v>
      </c>
      <c r="W908" s="257" t="e">
        <f t="shared" si="1586"/>
        <v>#REF!</v>
      </c>
      <c r="X908" s="257" t="e">
        <f t="shared" si="1587"/>
        <v>#REF!</v>
      </c>
      <c r="Y908" s="257" t="e">
        <f t="shared" si="1588"/>
        <v>#REF!</v>
      </c>
      <c r="Z908" s="257" t="e">
        <f t="shared" si="1589"/>
        <v>#REF!</v>
      </c>
    </row>
    <row r="909" spans="1:26" ht="25.5" hidden="1" customHeight="1" x14ac:dyDescent="0.2">
      <c r="A909" s="259" t="s">
        <v>31</v>
      </c>
      <c r="B909" s="271">
        <v>803</v>
      </c>
      <c r="C909" s="252" t="s">
        <v>200</v>
      </c>
      <c r="D909" s="252" t="s">
        <v>194</v>
      </c>
      <c r="E909" s="252" t="s">
        <v>32</v>
      </c>
      <c r="F909" s="252"/>
      <c r="G909" s="257"/>
      <c r="H909" s="257"/>
      <c r="I909" s="257" t="e">
        <f>#REF!+G909</f>
        <v>#REF!</v>
      </c>
      <c r="J909" s="257" t="e">
        <f t="shared" si="1580"/>
        <v>#REF!</v>
      </c>
      <c r="K909" s="257" t="e">
        <f t="shared" si="1590"/>
        <v>#REF!</v>
      </c>
      <c r="L909" s="257" t="e">
        <f t="shared" si="1581"/>
        <v>#REF!</v>
      </c>
      <c r="M909" s="257" t="e">
        <f t="shared" si="1581"/>
        <v>#REF!</v>
      </c>
      <c r="N909" s="257" t="e">
        <f t="shared" si="1581"/>
        <v>#REF!</v>
      </c>
      <c r="O909" s="257" t="e">
        <f t="shared" si="1581"/>
        <v>#REF!</v>
      </c>
      <c r="P909" s="257" t="e">
        <f t="shared" si="1581"/>
        <v>#REF!</v>
      </c>
      <c r="Q909" s="257" t="e">
        <f t="shared" si="1581"/>
        <v>#REF!</v>
      </c>
      <c r="R909" s="257" t="e">
        <f t="shared" si="1591"/>
        <v>#REF!</v>
      </c>
      <c r="S909" s="257" t="e">
        <f t="shared" si="1582"/>
        <v>#REF!</v>
      </c>
      <c r="T909" s="257" t="e">
        <f t="shared" si="1583"/>
        <v>#REF!</v>
      </c>
      <c r="U909" s="257" t="e">
        <f t="shared" si="1584"/>
        <v>#REF!</v>
      </c>
      <c r="V909" s="257" t="e">
        <f t="shared" si="1585"/>
        <v>#REF!</v>
      </c>
      <c r="W909" s="257" t="e">
        <f t="shared" si="1586"/>
        <v>#REF!</v>
      </c>
      <c r="X909" s="257" t="e">
        <f t="shared" si="1587"/>
        <v>#REF!</v>
      </c>
      <c r="Y909" s="257" t="e">
        <f t="shared" si="1588"/>
        <v>#REF!</v>
      </c>
      <c r="Z909" s="257" t="e">
        <f t="shared" si="1589"/>
        <v>#REF!</v>
      </c>
    </row>
    <row r="910" spans="1:26" ht="12.75" hidden="1" customHeight="1" x14ac:dyDescent="0.2">
      <c r="A910" s="259" t="s">
        <v>320</v>
      </c>
      <c r="B910" s="271">
        <v>803</v>
      </c>
      <c r="C910" s="252" t="s">
        <v>200</v>
      </c>
      <c r="D910" s="252" t="s">
        <v>194</v>
      </c>
      <c r="E910" s="252" t="s">
        <v>32</v>
      </c>
      <c r="F910" s="252" t="s">
        <v>321</v>
      </c>
      <c r="G910" s="257"/>
      <c r="H910" s="257"/>
      <c r="I910" s="257" t="e">
        <f>#REF!+G910</f>
        <v>#REF!</v>
      </c>
      <c r="J910" s="257" t="e">
        <f t="shared" si="1580"/>
        <v>#REF!</v>
      </c>
      <c r="K910" s="257" t="e">
        <f t="shared" si="1590"/>
        <v>#REF!</v>
      </c>
      <c r="L910" s="257" t="e">
        <f t="shared" si="1581"/>
        <v>#REF!</v>
      </c>
      <c r="M910" s="257" t="e">
        <f t="shared" si="1581"/>
        <v>#REF!</v>
      </c>
      <c r="N910" s="257" t="e">
        <f t="shared" si="1581"/>
        <v>#REF!</v>
      </c>
      <c r="O910" s="257" t="e">
        <f t="shared" si="1581"/>
        <v>#REF!</v>
      </c>
      <c r="P910" s="257" t="e">
        <f t="shared" si="1581"/>
        <v>#REF!</v>
      </c>
      <c r="Q910" s="257" t="e">
        <f t="shared" si="1581"/>
        <v>#REF!</v>
      </c>
      <c r="R910" s="257" t="e">
        <f t="shared" si="1591"/>
        <v>#REF!</v>
      </c>
      <c r="S910" s="257" t="e">
        <f t="shared" si="1582"/>
        <v>#REF!</v>
      </c>
      <c r="T910" s="257" t="e">
        <f t="shared" si="1583"/>
        <v>#REF!</v>
      </c>
      <c r="U910" s="257" t="e">
        <f t="shared" si="1584"/>
        <v>#REF!</v>
      </c>
      <c r="V910" s="257" t="e">
        <f t="shared" si="1585"/>
        <v>#REF!</v>
      </c>
      <c r="W910" s="257" t="e">
        <f t="shared" si="1586"/>
        <v>#REF!</v>
      </c>
      <c r="X910" s="257" t="e">
        <f t="shared" si="1587"/>
        <v>#REF!</v>
      </c>
      <c r="Y910" s="257" t="e">
        <f t="shared" si="1588"/>
        <v>#REF!</v>
      </c>
      <c r="Z910" s="257" t="e">
        <f t="shared" si="1589"/>
        <v>#REF!</v>
      </c>
    </row>
    <row r="911" spans="1:26" ht="12.75" hidden="1" customHeight="1" x14ac:dyDescent="0.2">
      <c r="A911" s="462" t="s">
        <v>33</v>
      </c>
      <c r="B911" s="249">
        <v>803</v>
      </c>
      <c r="C911" s="250" t="s">
        <v>200</v>
      </c>
      <c r="D911" s="250" t="s">
        <v>198</v>
      </c>
      <c r="E911" s="250"/>
      <c r="F911" s="250"/>
      <c r="G911" s="257"/>
      <c r="H911" s="257"/>
      <c r="I911" s="257" t="e">
        <f>#REF!+G911</f>
        <v>#REF!</v>
      </c>
      <c r="J911" s="257" t="e">
        <f t="shared" si="1580"/>
        <v>#REF!</v>
      </c>
      <c r="K911" s="257" t="e">
        <f t="shared" si="1590"/>
        <v>#REF!</v>
      </c>
      <c r="L911" s="257" t="e">
        <f t="shared" si="1581"/>
        <v>#REF!</v>
      </c>
      <c r="M911" s="257" t="e">
        <f t="shared" si="1581"/>
        <v>#REF!</v>
      </c>
      <c r="N911" s="257" t="e">
        <f t="shared" si="1581"/>
        <v>#REF!</v>
      </c>
      <c r="O911" s="257" t="e">
        <f t="shared" si="1581"/>
        <v>#REF!</v>
      </c>
      <c r="P911" s="257" t="e">
        <f t="shared" si="1581"/>
        <v>#REF!</v>
      </c>
      <c r="Q911" s="257" t="e">
        <f t="shared" si="1581"/>
        <v>#REF!</v>
      </c>
      <c r="R911" s="257" t="e">
        <f t="shared" si="1591"/>
        <v>#REF!</v>
      </c>
      <c r="S911" s="257" t="e">
        <f t="shared" si="1582"/>
        <v>#REF!</v>
      </c>
      <c r="T911" s="257" t="e">
        <f t="shared" si="1583"/>
        <v>#REF!</v>
      </c>
      <c r="U911" s="257" t="e">
        <f t="shared" si="1584"/>
        <v>#REF!</v>
      </c>
      <c r="V911" s="257" t="e">
        <f t="shared" si="1585"/>
        <v>#REF!</v>
      </c>
      <c r="W911" s="257" t="e">
        <f t="shared" si="1586"/>
        <v>#REF!</v>
      </c>
      <c r="X911" s="257" t="e">
        <f t="shared" si="1587"/>
        <v>#REF!</v>
      </c>
      <c r="Y911" s="257" t="e">
        <f t="shared" si="1588"/>
        <v>#REF!</v>
      </c>
      <c r="Z911" s="257" t="e">
        <f t="shared" si="1589"/>
        <v>#REF!</v>
      </c>
    </row>
    <row r="912" spans="1:26" ht="38.25" hidden="1" customHeight="1" x14ac:dyDescent="0.2">
      <c r="A912" s="259" t="s">
        <v>123</v>
      </c>
      <c r="B912" s="271">
        <v>803</v>
      </c>
      <c r="C912" s="252" t="s">
        <v>200</v>
      </c>
      <c r="D912" s="252" t="s">
        <v>198</v>
      </c>
      <c r="E912" s="260" t="s">
        <v>332</v>
      </c>
      <c r="F912" s="252"/>
      <c r="G912" s="257"/>
      <c r="H912" s="257"/>
      <c r="I912" s="257" t="e">
        <f>#REF!+G912</f>
        <v>#REF!</v>
      </c>
      <c r="J912" s="257" t="e">
        <f t="shared" si="1580"/>
        <v>#REF!</v>
      </c>
      <c r="K912" s="257" t="e">
        <f t="shared" si="1590"/>
        <v>#REF!</v>
      </c>
      <c r="L912" s="257" t="e">
        <f t="shared" si="1581"/>
        <v>#REF!</v>
      </c>
      <c r="M912" s="257" t="e">
        <f t="shared" si="1581"/>
        <v>#REF!</v>
      </c>
      <c r="N912" s="257" t="e">
        <f t="shared" si="1581"/>
        <v>#REF!</v>
      </c>
      <c r="O912" s="257" t="e">
        <f t="shared" si="1581"/>
        <v>#REF!</v>
      </c>
      <c r="P912" s="257" t="e">
        <f t="shared" si="1581"/>
        <v>#REF!</v>
      </c>
      <c r="Q912" s="257" t="e">
        <f t="shared" si="1581"/>
        <v>#REF!</v>
      </c>
      <c r="R912" s="257" t="e">
        <f t="shared" si="1591"/>
        <v>#REF!</v>
      </c>
      <c r="S912" s="257" t="e">
        <f t="shared" si="1582"/>
        <v>#REF!</v>
      </c>
      <c r="T912" s="257" t="e">
        <f t="shared" si="1583"/>
        <v>#REF!</v>
      </c>
      <c r="U912" s="257" t="e">
        <f t="shared" si="1584"/>
        <v>#REF!</v>
      </c>
      <c r="V912" s="257" t="e">
        <f t="shared" si="1585"/>
        <v>#REF!</v>
      </c>
      <c r="W912" s="257" t="e">
        <f t="shared" si="1586"/>
        <v>#REF!</v>
      </c>
      <c r="X912" s="257" t="e">
        <f t="shared" si="1587"/>
        <v>#REF!</v>
      </c>
      <c r="Y912" s="257" t="e">
        <f t="shared" si="1588"/>
        <v>#REF!</v>
      </c>
      <c r="Z912" s="257" t="e">
        <f t="shared" si="1589"/>
        <v>#REF!</v>
      </c>
    </row>
    <row r="913" spans="1:26" ht="12.75" hidden="1" customHeight="1" x14ac:dyDescent="0.2">
      <c r="A913" s="259" t="s">
        <v>333</v>
      </c>
      <c r="B913" s="271">
        <v>803</v>
      </c>
      <c r="C913" s="252" t="s">
        <v>200</v>
      </c>
      <c r="D913" s="252" t="s">
        <v>198</v>
      </c>
      <c r="E913" s="260" t="s">
        <v>334</v>
      </c>
      <c r="F913" s="252"/>
      <c r="G913" s="257"/>
      <c r="H913" s="257"/>
      <c r="I913" s="257" t="e">
        <f>#REF!+G913</f>
        <v>#REF!</v>
      </c>
      <c r="J913" s="257" t="e">
        <f t="shared" si="1580"/>
        <v>#REF!</v>
      </c>
      <c r="K913" s="257" t="e">
        <f t="shared" si="1590"/>
        <v>#REF!</v>
      </c>
      <c r="L913" s="257" t="e">
        <f t="shared" si="1581"/>
        <v>#REF!</v>
      </c>
      <c r="M913" s="257" t="e">
        <f t="shared" si="1581"/>
        <v>#REF!</v>
      </c>
      <c r="N913" s="257" t="e">
        <f t="shared" si="1581"/>
        <v>#REF!</v>
      </c>
      <c r="O913" s="257" t="e">
        <f t="shared" si="1581"/>
        <v>#REF!</v>
      </c>
      <c r="P913" s="257" t="e">
        <f t="shared" si="1581"/>
        <v>#REF!</v>
      </c>
      <c r="Q913" s="257" t="e">
        <f t="shared" si="1581"/>
        <v>#REF!</v>
      </c>
      <c r="R913" s="257" t="e">
        <f t="shared" si="1591"/>
        <v>#REF!</v>
      </c>
      <c r="S913" s="257" t="e">
        <f t="shared" si="1582"/>
        <v>#REF!</v>
      </c>
      <c r="T913" s="257" t="e">
        <f t="shared" si="1583"/>
        <v>#REF!</v>
      </c>
      <c r="U913" s="257" t="e">
        <f t="shared" si="1584"/>
        <v>#REF!</v>
      </c>
      <c r="V913" s="257" t="e">
        <f t="shared" si="1585"/>
        <v>#REF!</v>
      </c>
      <c r="W913" s="257" t="e">
        <f t="shared" si="1586"/>
        <v>#REF!</v>
      </c>
      <c r="X913" s="257" t="e">
        <f t="shared" si="1587"/>
        <v>#REF!</v>
      </c>
      <c r="Y913" s="257" t="e">
        <f t="shared" si="1588"/>
        <v>#REF!</v>
      </c>
      <c r="Z913" s="257" t="e">
        <f t="shared" si="1589"/>
        <v>#REF!</v>
      </c>
    </row>
    <row r="914" spans="1:26" ht="12.75" hidden="1" customHeight="1" x14ac:dyDescent="0.2">
      <c r="A914" s="259" t="s">
        <v>320</v>
      </c>
      <c r="B914" s="271">
        <v>803</v>
      </c>
      <c r="C914" s="252" t="s">
        <v>200</v>
      </c>
      <c r="D914" s="252" t="s">
        <v>198</v>
      </c>
      <c r="E914" s="260" t="s">
        <v>334</v>
      </c>
      <c r="F914" s="252" t="s">
        <v>321</v>
      </c>
      <c r="G914" s="257"/>
      <c r="H914" s="257"/>
      <c r="I914" s="257" t="e">
        <f>#REF!+G914</f>
        <v>#REF!</v>
      </c>
      <c r="J914" s="257" t="e">
        <f t="shared" si="1580"/>
        <v>#REF!</v>
      </c>
      <c r="K914" s="257" t="e">
        <f t="shared" si="1590"/>
        <v>#REF!</v>
      </c>
      <c r="L914" s="257" t="e">
        <f t="shared" si="1581"/>
        <v>#REF!</v>
      </c>
      <c r="M914" s="257" t="e">
        <f t="shared" si="1581"/>
        <v>#REF!</v>
      </c>
      <c r="N914" s="257" t="e">
        <f t="shared" si="1581"/>
        <v>#REF!</v>
      </c>
      <c r="O914" s="257" t="e">
        <f t="shared" si="1581"/>
        <v>#REF!</v>
      </c>
      <c r="P914" s="257" t="e">
        <f t="shared" si="1581"/>
        <v>#REF!</v>
      </c>
      <c r="Q914" s="257" t="e">
        <f t="shared" si="1581"/>
        <v>#REF!</v>
      </c>
      <c r="R914" s="257" t="e">
        <f t="shared" si="1591"/>
        <v>#REF!</v>
      </c>
      <c r="S914" s="257" t="e">
        <f t="shared" si="1582"/>
        <v>#REF!</v>
      </c>
      <c r="T914" s="257" t="e">
        <f t="shared" si="1583"/>
        <v>#REF!</v>
      </c>
      <c r="U914" s="257" t="e">
        <f t="shared" si="1584"/>
        <v>#REF!</v>
      </c>
      <c r="V914" s="257" t="e">
        <f t="shared" si="1585"/>
        <v>#REF!</v>
      </c>
      <c r="W914" s="257" t="e">
        <f t="shared" si="1586"/>
        <v>#REF!</v>
      </c>
      <c r="X914" s="257" t="e">
        <f t="shared" si="1587"/>
        <v>#REF!</v>
      </c>
      <c r="Y914" s="257" t="e">
        <f t="shared" si="1588"/>
        <v>#REF!</v>
      </c>
      <c r="Z914" s="257" t="e">
        <f t="shared" si="1589"/>
        <v>#REF!</v>
      </c>
    </row>
    <row r="915" spans="1:26" ht="12.75" hidden="1" customHeight="1" x14ac:dyDescent="0.2">
      <c r="A915" s="259" t="s">
        <v>302</v>
      </c>
      <c r="B915" s="271">
        <v>803</v>
      </c>
      <c r="C915" s="252" t="s">
        <v>200</v>
      </c>
      <c r="D915" s="252" t="s">
        <v>198</v>
      </c>
      <c r="E915" s="260" t="s">
        <v>334</v>
      </c>
      <c r="F915" s="252" t="s">
        <v>303</v>
      </c>
      <c r="G915" s="257"/>
      <c r="H915" s="257"/>
      <c r="I915" s="257" t="e">
        <f>#REF!+G915</f>
        <v>#REF!</v>
      </c>
      <c r="J915" s="257" t="e">
        <f t="shared" si="1580"/>
        <v>#REF!</v>
      </c>
      <c r="K915" s="257" t="e">
        <f t="shared" si="1590"/>
        <v>#REF!</v>
      </c>
      <c r="L915" s="257" t="e">
        <f t="shared" si="1581"/>
        <v>#REF!</v>
      </c>
      <c r="M915" s="257" t="e">
        <f t="shared" si="1581"/>
        <v>#REF!</v>
      </c>
      <c r="N915" s="257" t="e">
        <f t="shared" si="1581"/>
        <v>#REF!</v>
      </c>
      <c r="O915" s="257" t="e">
        <f t="shared" si="1581"/>
        <v>#REF!</v>
      </c>
      <c r="P915" s="257" t="e">
        <f t="shared" si="1581"/>
        <v>#REF!</v>
      </c>
      <c r="Q915" s="257" t="e">
        <f t="shared" si="1581"/>
        <v>#REF!</v>
      </c>
      <c r="R915" s="257" t="e">
        <f t="shared" si="1591"/>
        <v>#REF!</v>
      </c>
      <c r="S915" s="257" t="e">
        <f t="shared" si="1582"/>
        <v>#REF!</v>
      </c>
      <c r="T915" s="257" t="e">
        <f t="shared" si="1583"/>
        <v>#REF!</v>
      </c>
      <c r="U915" s="257" t="e">
        <f t="shared" si="1584"/>
        <v>#REF!</v>
      </c>
      <c r="V915" s="257" t="e">
        <f t="shared" si="1585"/>
        <v>#REF!</v>
      </c>
      <c r="W915" s="257" t="e">
        <f t="shared" si="1586"/>
        <v>#REF!</v>
      </c>
      <c r="X915" s="257" t="e">
        <f t="shared" si="1587"/>
        <v>#REF!</v>
      </c>
      <c r="Y915" s="257" t="e">
        <f t="shared" si="1588"/>
        <v>#REF!</v>
      </c>
      <c r="Z915" s="257" t="e">
        <f t="shared" si="1589"/>
        <v>#REF!</v>
      </c>
    </row>
    <row r="916" spans="1:26" ht="25.5" hidden="1" customHeight="1" x14ac:dyDescent="0.2">
      <c r="A916" s="259" t="s">
        <v>34</v>
      </c>
      <c r="B916" s="271">
        <v>803</v>
      </c>
      <c r="C916" s="252" t="s">
        <v>200</v>
      </c>
      <c r="D916" s="252" t="s">
        <v>198</v>
      </c>
      <c r="E916" s="260" t="s">
        <v>35</v>
      </c>
      <c r="F916" s="252"/>
      <c r="G916" s="257"/>
      <c r="H916" s="257"/>
      <c r="I916" s="257" t="e">
        <f>#REF!+G916</f>
        <v>#REF!</v>
      </c>
      <c r="J916" s="257" t="e">
        <f t="shared" si="1580"/>
        <v>#REF!</v>
      </c>
      <c r="K916" s="257" t="e">
        <f t="shared" si="1590"/>
        <v>#REF!</v>
      </c>
      <c r="L916" s="257" t="e">
        <f t="shared" si="1581"/>
        <v>#REF!</v>
      </c>
      <c r="M916" s="257" t="e">
        <f t="shared" si="1581"/>
        <v>#REF!</v>
      </c>
      <c r="N916" s="257" t="e">
        <f t="shared" si="1581"/>
        <v>#REF!</v>
      </c>
      <c r="O916" s="257" t="e">
        <f t="shared" ref="L916:Q966" si="1592">L916+M916</f>
        <v>#REF!</v>
      </c>
      <c r="P916" s="257" t="e">
        <f t="shared" si="1592"/>
        <v>#REF!</v>
      </c>
      <c r="Q916" s="257" t="e">
        <f t="shared" si="1592"/>
        <v>#REF!</v>
      </c>
      <c r="R916" s="257" t="e">
        <f t="shared" si="1591"/>
        <v>#REF!</v>
      </c>
      <c r="S916" s="257" t="e">
        <f t="shared" si="1582"/>
        <v>#REF!</v>
      </c>
      <c r="T916" s="257" t="e">
        <f t="shared" si="1583"/>
        <v>#REF!</v>
      </c>
      <c r="U916" s="257" t="e">
        <f t="shared" si="1584"/>
        <v>#REF!</v>
      </c>
      <c r="V916" s="257" t="e">
        <f t="shared" si="1585"/>
        <v>#REF!</v>
      </c>
      <c r="W916" s="257" t="e">
        <f t="shared" si="1586"/>
        <v>#REF!</v>
      </c>
      <c r="X916" s="257" t="e">
        <f t="shared" si="1587"/>
        <v>#REF!</v>
      </c>
      <c r="Y916" s="257" t="e">
        <f t="shared" si="1588"/>
        <v>#REF!</v>
      </c>
      <c r="Z916" s="257" t="e">
        <f t="shared" si="1589"/>
        <v>#REF!</v>
      </c>
    </row>
    <row r="917" spans="1:26" ht="12.75" hidden="1" customHeight="1" x14ac:dyDescent="0.2">
      <c r="A917" s="259" t="s">
        <v>320</v>
      </c>
      <c r="B917" s="271">
        <v>803</v>
      </c>
      <c r="C917" s="252" t="s">
        <v>200</v>
      </c>
      <c r="D917" s="252" t="s">
        <v>198</v>
      </c>
      <c r="E917" s="260" t="s">
        <v>35</v>
      </c>
      <c r="F917" s="252" t="s">
        <v>321</v>
      </c>
      <c r="G917" s="257"/>
      <c r="H917" s="257"/>
      <c r="I917" s="257" t="e">
        <f>#REF!+G917</f>
        <v>#REF!</v>
      </c>
      <c r="J917" s="257" t="e">
        <f t="shared" si="1580"/>
        <v>#REF!</v>
      </c>
      <c r="K917" s="257" t="e">
        <f t="shared" si="1590"/>
        <v>#REF!</v>
      </c>
      <c r="L917" s="257" t="e">
        <f t="shared" si="1592"/>
        <v>#REF!</v>
      </c>
      <c r="M917" s="257" t="e">
        <f t="shared" si="1592"/>
        <v>#REF!</v>
      </c>
      <c r="N917" s="257" t="e">
        <f t="shared" si="1592"/>
        <v>#REF!</v>
      </c>
      <c r="O917" s="257" t="e">
        <f t="shared" si="1592"/>
        <v>#REF!</v>
      </c>
      <c r="P917" s="257" t="e">
        <f t="shared" si="1592"/>
        <v>#REF!</v>
      </c>
      <c r="Q917" s="257" t="e">
        <f t="shared" si="1592"/>
        <v>#REF!</v>
      </c>
      <c r="R917" s="257" t="e">
        <f t="shared" si="1591"/>
        <v>#REF!</v>
      </c>
      <c r="S917" s="257" t="e">
        <f t="shared" si="1582"/>
        <v>#REF!</v>
      </c>
      <c r="T917" s="257" t="e">
        <f t="shared" si="1583"/>
        <v>#REF!</v>
      </c>
      <c r="U917" s="257" t="e">
        <f t="shared" si="1584"/>
        <v>#REF!</v>
      </c>
      <c r="V917" s="257" t="e">
        <f t="shared" si="1585"/>
        <v>#REF!</v>
      </c>
      <c r="W917" s="257" t="e">
        <f t="shared" si="1586"/>
        <v>#REF!</v>
      </c>
      <c r="X917" s="257" t="e">
        <f t="shared" si="1587"/>
        <v>#REF!</v>
      </c>
      <c r="Y917" s="257" t="e">
        <f t="shared" si="1588"/>
        <v>#REF!</v>
      </c>
      <c r="Z917" s="257" t="e">
        <f t="shared" si="1589"/>
        <v>#REF!</v>
      </c>
    </row>
    <row r="918" spans="1:26" ht="12.75" hidden="1" customHeight="1" x14ac:dyDescent="0.2">
      <c r="A918" s="462" t="s">
        <v>70</v>
      </c>
      <c r="B918" s="249">
        <v>803</v>
      </c>
      <c r="C918" s="250">
        <v>11</v>
      </c>
      <c r="D918" s="250"/>
      <c r="E918" s="250"/>
      <c r="F918" s="250"/>
      <c r="G918" s="257"/>
      <c r="H918" s="257"/>
      <c r="I918" s="257" t="e">
        <f>#REF!+G918</f>
        <v>#REF!</v>
      </c>
      <c r="J918" s="257" t="e">
        <f t="shared" si="1580"/>
        <v>#REF!</v>
      </c>
      <c r="K918" s="257" t="e">
        <f t="shared" si="1590"/>
        <v>#REF!</v>
      </c>
      <c r="L918" s="257" t="e">
        <f t="shared" si="1592"/>
        <v>#REF!</v>
      </c>
      <c r="M918" s="257" t="e">
        <f t="shared" si="1592"/>
        <v>#REF!</v>
      </c>
      <c r="N918" s="257" t="e">
        <f t="shared" si="1592"/>
        <v>#REF!</v>
      </c>
      <c r="O918" s="257" t="e">
        <f t="shared" si="1592"/>
        <v>#REF!</v>
      </c>
      <c r="P918" s="257" t="e">
        <f t="shared" si="1592"/>
        <v>#REF!</v>
      </c>
      <c r="Q918" s="257" t="e">
        <f t="shared" si="1592"/>
        <v>#REF!</v>
      </c>
      <c r="R918" s="257" t="e">
        <f t="shared" si="1591"/>
        <v>#REF!</v>
      </c>
      <c r="S918" s="257" t="e">
        <f t="shared" si="1582"/>
        <v>#REF!</v>
      </c>
      <c r="T918" s="257" t="e">
        <f t="shared" si="1583"/>
        <v>#REF!</v>
      </c>
      <c r="U918" s="257" t="e">
        <f t="shared" si="1584"/>
        <v>#REF!</v>
      </c>
      <c r="V918" s="257" t="e">
        <f t="shared" si="1585"/>
        <v>#REF!</v>
      </c>
      <c r="W918" s="257" t="e">
        <f t="shared" si="1586"/>
        <v>#REF!</v>
      </c>
      <c r="X918" s="257" t="e">
        <f t="shared" si="1587"/>
        <v>#REF!</v>
      </c>
      <c r="Y918" s="257" t="e">
        <f t="shared" si="1588"/>
        <v>#REF!</v>
      </c>
      <c r="Z918" s="257" t="e">
        <f t="shared" si="1589"/>
        <v>#REF!</v>
      </c>
    </row>
    <row r="919" spans="1:26" ht="25.5" hidden="1" customHeight="1" x14ac:dyDescent="0.2">
      <c r="A919" s="462" t="s">
        <v>289</v>
      </c>
      <c r="B919" s="249">
        <v>803</v>
      </c>
      <c r="C919" s="250">
        <v>11</v>
      </c>
      <c r="D919" s="250" t="s">
        <v>192</v>
      </c>
      <c r="E919" s="250"/>
      <c r="F919" s="250"/>
      <c r="G919" s="257"/>
      <c r="H919" s="257"/>
      <c r="I919" s="257" t="e">
        <f>#REF!+G919</f>
        <v>#REF!</v>
      </c>
      <c r="J919" s="257" t="e">
        <f t="shared" si="1580"/>
        <v>#REF!</v>
      </c>
      <c r="K919" s="257" t="e">
        <f t="shared" si="1590"/>
        <v>#REF!</v>
      </c>
      <c r="L919" s="257" t="e">
        <f t="shared" si="1592"/>
        <v>#REF!</v>
      </c>
      <c r="M919" s="257" t="e">
        <f t="shared" si="1592"/>
        <v>#REF!</v>
      </c>
      <c r="N919" s="257" t="e">
        <f t="shared" si="1592"/>
        <v>#REF!</v>
      </c>
      <c r="O919" s="257" t="e">
        <f t="shared" si="1592"/>
        <v>#REF!</v>
      </c>
      <c r="P919" s="257" t="e">
        <f t="shared" si="1592"/>
        <v>#REF!</v>
      </c>
      <c r="Q919" s="257" t="e">
        <f t="shared" si="1592"/>
        <v>#REF!</v>
      </c>
      <c r="R919" s="257" t="e">
        <f t="shared" si="1591"/>
        <v>#REF!</v>
      </c>
      <c r="S919" s="257" t="e">
        <f t="shared" si="1582"/>
        <v>#REF!</v>
      </c>
      <c r="T919" s="257" t="e">
        <f t="shared" si="1583"/>
        <v>#REF!</v>
      </c>
      <c r="U919" s="257" t="e">
        <f t="shared" si="1584"/>
        <v>#REF!</v>
      </c>
      <c r="V919" s="257" t="e">
        <f t="shared" si="1585"/>
        <v>#REF!</v>
      </c>
      <c r="W919" s="257" t="e">
        <f t="shared" si="1586"/>
        <v>#REF!</v>
      </c>
      <c r="X919" s="257" t="e">
        <f t="shared" si="1587"/>
        <v>#REF!</v>
      </c>
      <c r="Y919" s="257" t="e">
        <f t="shared" si="1588"/>
        <v>#REF!</v>
      </c>
      <c r="Z919" s="257" t="e">
        <f t="shared" si="1589"/>
        <v>#REF!</v>
      </c>
    </row>
    <row r="920" spans="1:26" ht="12.75" hidden="1" customHeight="1" x14ac:dyDescent="0.2">
      <c r="A920" s="259" t="s">
        <v>11</v>
      </c>
      <c r="B920" s="271">
        <v>803</v>
      </c>
      <c r="C920" s="252">
        <v>11</v>
      </c>
      <c r="D920" s="252" t="s">
        <v>192</v>
      </c>
      <c r="E920" s="252" t="s">
        <v>12</v>
      </c>
      <c r="F920" s="252"/>
      <c r="G920" s="257"/>
      <c r="H920" s="257"/>
      <c r="I920" s="257" t="e">
        <f>#REF!+G920</f>
        <v>#REF!</v>
      </c>
      <c r="J920" s="257" t="e">
        <f t="shared" si="1580"/>
        <v>#REF!</v>
      </c>
      <c r="K920" s="257" t="e">
        <f t="shared" si="1590"/>
        <v>#REF!</v>
      </c>
      <c r="L920" s="257" t="e">
        <f t="shared" si="1592"/>
        <v>#REF!</v>
      </c>
      <c r="M920" s="257" t="e">
        <f t="shared" si="1592"/>
        <v>#REF!</v>
      </c>
      <c r="N920" s="257" t="e">
        <f t="shared" si="1592"/>
        <v>#REF!</v>
      </c>
      <c r="O920" s="257" t="e">
        <f t="shared" si="1592"/>
        <v>#REF!</v>
      </c>
      <c r="P920" s="257" t="e">
        <f t="shared" si="1592"/>
        <v>#REF!</v>
      </c>
      <c r="Q920" s="257" t="e">
        <f t="shared" si="1592"/>
        <v>#REF!</v>
      </c>
      <c r="R920" s="257" t="e">
        <f t="shared" si="1591"/>
        <v>#REF!</v>
      </c>
      <c r="S920" s="257" t="e">
        <f t="shared" si="1582"/>
        <v>#REF!</v>
      </c>
      <c r="T920" s="257" t="e">
        <f t="shared" si="1583"/>
        <v>#REF!</v>
      </c>
      <c r="U920" s="257" t="e">
        <f t="shared" si="1584"/>
        <v>#REF!</v>
      </c>
      <c r="V920" s="257" t="e">
        <f t="shared" si="1585"/>
        <v>#REF!</v>
      </c>
      <c r="W920" s="257" t="e">
        <f t="shared" si="1586"/>
        <v>#REF!</v>
      </c>
      <c r="X920" s="257" t="e">
        <f t="shared" si="1587"/>
        <v>#REF!</v>
      </c>
      <c r="Y920" s="257" t="e">
        <f t="shared" si="1588"/>
        <v>#REF!</v>
      </c>
      <c r="Z920" s="257" t="e">
        <f t="shared" si="1589"/>
        <v>#REF!</v>
      </c>
    </row>
    <row r="921" spans="1:26" ht="51" hidden="1" customHeight="1" x14ac:dyDescent="0.2">
      <c r="A921" s="259" t="s">
        <v>15</v>
      </c>
      <c r="B921" s="271">
        <v>803</v>
      </c>
      <c r="C921" s="252">
        <v>11</v>
      </c>
      <c r="D921" s="252" t="s">
        <v>192</v>
      </c>
      <c r="E921" s="252" t="s">
        <v>16</v>
      </c>
      <c r="F921" s="252"/>
      <c r="G921" s="257"/>
      <c r="H921" s="257"/>
      <c r="I921" s="257" t="e">
        <f>#REF!+G921</f>
        <v>#REF!</v>
      </c>
      <c r="J921" s="257" t="e">
        <f t="shared" si="1580"/>
        <v>#REF!</v>
      </c>
      <c r="K921" s="257" t="e">
        <f t="shared" si="1590"/>
        <v>#REF!</v>
      </c>
      <c r="L921" s="257" t="e">
        <f t="shared" si="1592"/>
        <v>#REF!</v>
      </c>
      <c r="M921" s="257" t="e">
        <f t="shared" si="1592"/>
        <v>#REF!</v>
      </c>
      <c r="N921" s="257" t="e">
        <f t="shared" si="1592"/>
        <v>#REF!</v>
      </c>
      <c r="O921" s="257" t="e">
        <f t="shared" si="1592"/>
        <v>#REF!</v>
      </c>
      <c r="P921" s="257" t="e">
        <f t="shared" si="1592"/>
        <v>#REF!</v>
      </c>
      <c r="Q921" s="257" t="e">
        <f t="shared" si="1592"/>
        <v>#REF!</v>
      </c>
      <c r="R921" s="257" t="e">
        <f t="shared" si="1591"/>
        <v>#REF!</v>
      </c>
      <c r="S921" s="257" t="e">
        <f t="shared" si="1582"/>
        <v>#REF!</v>
      </c>
      <c r="T921" s="257" t="e">
        <f t="shared" si="1583"/>
        <v>#REF!</v>
      </c>
      <c r="U921" s="257" t="e">
        <f t="shared" si="1584"/>
        <v>#REF!</v>
      </c>
      <c r="V921" s="257" t="e">
        <f t="shared" si="1585"/>
        <v>#REF!</v>
      </c>
      <c r="W921" s="257" t="e">
        <f t="shared" si="1586"/>
        <v>#REF!</v>
      </c>
      <c r="X921" s="257" t="e">
        <f t="shared" si="1587"/>
        <v>#REF!</v>
      </c>
      <c r="Y921" s="257" t="e">
        <f t="shared" si="1588"/>
        <v>#REF!</v>
      </c>
      <c r="Z921" s="257" t="e">
        <f t="shared" si="1589"/>
        <v>#REF!</v>
      </c>
    </row>
    <row r="922" spans="1:26" ht="12.75" hidden="1" customHeight="1" x14ac:dyDescent="0.2">
      <c r="A922" s="259" t="s">
        <v>153</v>
      </c>
      <c r="B922" s="271">
        <v>803</v>
      </c>
      <c r="C922" s="252">
        <v>11</v>
      </c>
      <c r="D922" s="252" t="s">
        <v>192</v>
      </c>
      <c r="E922" s="252" t="s">
        <v>16</v>
      </c>
      <c r="F922" s="252" t="s">
        <v>154</v>
      </c>
      <c r="G922" s="257"/>
      <c r="H922" s="257"/>
      <c r="I922" s="257" t="e">
        <f>#REF!+G922</f>
        <v>#REF!</v>
      </c>
      <c r="J922" s="257" t="e">
        <f t="shared" si="1580"/>
        <v>#REF!</v>
      </c>
      <c r="K922" s="257" t="e">
        <f t="shared" si="1590"/>
        <v>#REF!</v>
      </c>
      <c r="L922" s="257" t="e">
        <f t="shared" si="1592"/>
        <v>#REF!</v>
      </c>
      <c r="M922" s="257" t="e">
        <f t="shared" si="1592"/>
        <v>#REF!</v>
      </c>
      <c r="N922" s="257" t="e">
        <f t="shared" si="1592"/>
        <v>#REF!</v>
      </c>
      <c r="O922" s="257" t="e">
        <f t="shared" si="1592"/>
        <v>#REF!</v>
      </c>
      <c r="P922" s="257" t="e">
        <f t="shared" si="1592"/>
        <v>#REF!</v>
      </c>
      <c r="Q922" s="257" t="e">
        <f t="shared" si="1592"/>
        <v>#REF!</v>
      </c>
      <c r="R922" s="257" t="e">
        <f t="shared" si="1591"/>
        <v>#REF!</v>
      </c>
      <c r="S922" s="257" t="e">
        <f t="shared" si="1582"/>
        <v>#REF!</v>
      </c>
      <c r="T922" s="257" t="e">
        <f t="shared" si="1583"/>
        <v>#REF!</v>
      </c>
      <c r="U922" s="257" t="e">
        <f t="shared" si="1584"/>
        <v>#REF!</v>
      </c>
      <c r="V922" s="257" t="e">
        <f t="shared" si="1585"/>
        <v>#REF!</v>
      </c>
      <c r="W922" s="257" t="e">
        <f t="shared" si="1586"/>
        <v>#REF!</v>
      </c>
      <c r="X922" s="257" t="e">
        <f t="shared" si="1587"/>
        <v>#REF!</v>
      </c>
      <c r="Y922" s="257" t="e">
        <f t="shared" si="1588"/>
        <v>#REF!</v>
      </c>
      <c r="Z922" s="257" t="e">
        <f t="shared" si="1589"/>
        <v>#REF!</v>
      </c>
    </row>
    <row r="923" spans="1:26" ht="35.450000000000003" hidden="1" customHeight="1" x14ac:dyDescent="0.2">
      <c r="A923" s="525" t="s">
        <v>36</v>
      </c>
      <c r="B923" s="526"/>
      <c r="C923" s="526"/>
      <c r="D923" s="526"/>
      <c r="E923" s="526"/>
      <c r="F923" s="526"/>
      <c r="G923" s="257"/>
      <c r="H923" s="257"/>
      <c r="I923" s="257" t="e">
        <f>#REF!+G923</f>
        <v>#REF!</v>
      </c>
      <c r="J923" s="257" t="e">
        <f t="shared" si="1580"/>
        <v>#REF!</v>
      </c>
      <c r="K923" s="257" t="e">
        <f t="shared" si="1590"/>
        <v>#REF!</v>
      </c>
      <c r="L923" s="257" t="e">
        <f t="shared" si="1592"/>
        <v>#REF!</v>
      </c>
      <c r="M923" s="257" t="e">
        <f t="shared" si="1592"/>
        <v>#REF!</v>
      </c>
      <c r="N923" s="257" t="e">
        <f t="shared" si="1592"/>
        <v>#REF!</v>
      </c>
      <c r="O923" s="257" t="e">
        <f t="shared" si="1592"/>
        <v>#REF!</v>
      </c>
      <c r="P923" s="257" t="e">
        <f t="shared" si="1592"/>
        <v>#REF!</v>
      </c>
      <c r="Q923" s="257" t="e">
        <f t="shared" si="1592"/>
        <v>#REF!</v>
      </c>
      <c r="R923" s="257" t="e">
        <f t="shared" si="1591"/>
        <v>#REF!</v>
      </c>
      <c r="S923" s="257" t="e">
        <f t="shared" si="1582"/>
        <v>#REF!</v>
      </c>
      <c r="T923" s="257" t="e">
        <f t="shared" si="1583"/>
        <v>#REF!</v>
      </c>
      <c r="U923" s="257" t="e">
        <f t="shared" si="1584"/>
        <v>#REF!</v>
      </c>
      <c r="V923" s="257" t="e">
        <f t="shared" si="1585"/>
        <v>#REF!</v>
      </c>
      <c r="W923" s="257" t="e">
        <f t="shared" si="1586"/>
        <v>#REF!</v>
      </c>
      <c r="X923" s="257" t="e">
        <f t="shared" si="1587"/>
        <v>#REF!</v>
      </c>
      <c r="Y923" s="257" t="e">
        <f t="shared" si="1588"/>
        <v>#REF!</v>
      </c>
      <c r="Z923" s="257" t="e">
        <f t="shared" si="1589"/>
        <v>#REF!</v>
      </c>
    </row>
    <row r="924" spans="1:26" ht="12.75" hidden="1" customHeight="1" x14ac:dyDescent="0.2">
      <c r="A924" s="462" t="s">
        <v>306</v>
      </c>
      <c r="B924" s="250" t="s">
        <v>37</v>
      </c>
      <c r="C924" s="250" t="s">
        <v>196</v>
      </c>
      <c r="D924" s="250"/>
      <c r="E924" s="250"/>
      <c r="F924" s="250"/>
      <c r="G924" s="257"/>
      <c r="H924" s="257"/>
      <c r="I924" s="257" t="e">
        <f>#REF!+G924</f>
        <v>#REF!</v>
      </c>
      <c r="J924" s="257" t="e">
        <f t="shared" si="1580"/>
        <v>#REF!</v>
      </c>
      <c r="K924" s="257" t="e">
        <f t="shared" si="1590"/>
        <v>#REF!</v>
      </c>
      <c r="L924" s="257" t="e">
        <f t="shared" si="1592"/>
        <v>#REF!</v>
      </c>
      <c r="M924" s="257" t="e">
        <f t="shared" si="1592"/>
        <v>#REF!</v>
      </c>
      <c r="N924" s="257" t="e">
        <f t="shared" si="1592"/>
        <v>#REF!</v>
      </c>
      <c r="O924" s="257" t="e">
        <f t="shared" si="1592"/>
        <v>#REF!</v>
      </c>
      <c r="P924" s="257" t="e">
        <f t="shared" si="1592"/>
        <v>#REF!</v>
      </c>
      <c r="Q924" s="257" t="e">
        <f t="shared" si="1592"/>
        <v>#REF!</v>
      </c>
      <c r="R924" s="257" t="e">
        <f t="shared" si="1591"/>
        <v>#REF!</v>
      </c>
      <c r="S924" s="257" t="e">
        <f t="shared" si="1582"/>
        <v>#REF!</v>
      </c>
      <c r="T924" s="257" t="e">
        <f t="shared" si="1583"/>
        <v>#REF!</v>
      </c>
      <c r="U924" s="257" t="e">
        <f t="shared" si="1584"/>
        <v>#REF!</v>
      </c>
      <c r="V924" s="257" t="e">
        <f t="shared" si="1585"/>
        <v>#REF!</v>
      </c>
      <c r="W924" s="257" t="e">
        <f t="shared" si="1586"/>
        <v>#REF!</v>
      </c>
      <c r="X924" s="257" t="e">
        <f t="shared" si="1587"/>
        <v>#REF!</v>
      </c>
      <c r="Y924" s="257" t="e">
        <f t="shared" si="1588"/>
        <v>#REF!</v>
      </c>
      <c r="Z924" s="257" t="e">
        <f t="shared" si="1589"/>
        <v>#REF!</v>
      </c>
    </row>
    <row r="925" spans="1:26" ht="12.75" hidden="1" customHeight="1" x14ac:dyDescent="0.2">
      <c r="A925" s="462" t="s">
        <v>38</v>
      </c>
      <c r="B925" s="250" t="s">
        <v>37</v>
      </c>
      <c r="C925" s="250" t="s">
        <v>196</v>
      </c>
      <c r="D925" s="250" t="s">
        <v>233</v>
      </c>
      <c r="E925" s="250"/>
      <c r="F925" s="250"/>
      <c r="G925" s="257"/>
      <c r="H925" s="257"/>
      <c r="I925" s="257" t="e">
        <f>#REF!+G925</f>
        <v>#REF!</v>
      </c>
      <c r="J925" s="257" t="e">
        <f t="shared" si="1580"/>
        <v>#REF!</v>
      </c>
      <c r="K925" s="257" t="e">
        <f t="shared" si="1590"/>
        <v>#REF!</v>
      </c>
      <c r="L925" s="257" t="e">
        <f t="shared" si="1590"/>
        <v>#REF!</v>
      </c>
      <c r="M925" s="257" t="e">
        <f t="shared" si="1590"/>
        <v>#REF!</v>
      </c>
      <c r="N925" s="257" t="e">
        <f t="shared" si="1590"/>
        <v>#REF!</v>
      </c>
      <c r="O925" s="257" t="e">
        <f t="shared" si="1590"/>
        <v>#REF!</v>
      </c>
      <c r="P925" s="257" t="e">
        <f t="shared" si="1590"/>
        <v>#REF!</v>
      </c>
      <c r="Q925" s="257" t="e">
        <f t="shared" si="1592"/>
        <v>#REF!</v>
      </c>
      <c r="R925" s="257" t="e">
        <f t="shared" si="1591"/>
        <v>#REF!</v>
      </c>
      <c r="S925" s="257" t="e">
        <f t="shared" si="1582"/>
        <v>#REF!</v>
      </c>
      <c r="T925" s="257" t="e">
        <f t="shared" si="1583"/>
        <v>#REF!</v>
      </c>
      <c r="U925" s="257" t="e">
        <f t="shared" si="1584"/>
        <v>#REF!</v>
      </c>
      <c r="V925" s="257" t="e">
        <f t="shared" si="1585"/>
        <v>#REF!</v>
      </c>
      <c r="W925" s="257" t="e">
        <f t="shared" si="1586"/>
        <v>#REF!</v>
      </c>
      <c r="X925" s="257" t="e">
        <f t="shared" si="1587"/>
        <v>#REF!</v>
      </c>
      <c r="Y925" s="257" t="e">
        <f t="shared" si="1588"/>
        <v>#REF!</v>
      </c>
      <c r="Z925" s="257" t="e">
        <f t="shared" si="1589"/>
        <v>#REF!</v>
      </c>
    </row>
    <row r="926" spans="1:26" ht="38.25" hidden="1" customHeight="1" x14ac:dyDescent="0.2">
      <c r="A926" s="259" t="s">
        <v>123</v>
      </c>
      <c r="B926" s="252" t="s">
        <v>37</v>
      </c>
      <c r="C926" s="252" t="s">
        <v>196</v>
      </c>
      <c r="D926" s="252" t="s">
        <v>233</v>
      </c>
      <c r="E926" s="260" t="s">
        <v>332</v>
      </c>
      <c r="F926" s="252"/>
      <c r="G926" s="257"/>
      <c r="H926" s="257"/>
      <c r="I926" s="257" t="e">
        <f>#REF!+G926</f>
        <v>#REF!</v>
      </c>
      <c r="J926" s="257" t="e">
        <f t="shared" si="1580"/>
        <v>#REF!</v>
      </c>
      <c r="K926" s="257" t="e">
        <f t="shared" si="1590"/>
        <v>#REF!</v>
      </c>
      <c r="L926" s="257" t="e">
        <f t="shared" si="1590"/>
        <v>#REF!</v>
      </c>
      <c r="M926" s="257" t="e">
        <f t="shared" si="1590"/>
        <v>#REF!</v>
      </c>
      <c r="N926" s="257" t="e">
        <f t="shared" si="1590"/>
        <v>#REF!</v>
      </c>
      <c r="O926" s="257" t="e">
        <f t="shared" si="1590"/>
        <v>#REF!</v>
      </c>
      <c r="P926" s="257" t="e">
        <f t="shared" si="1590"/>
        <v>#REF!</v>
      </c>
      <c r="Q926" s="257" t="e">
        <f t="shared" si="1592"/>
        <v>#REF!</v>
      </c>
      <c r="R926" s="257" t="e">
        <f t="shared" si="1591"/>
        <v>#REF!</v>
      </c>
      <c r="S926" s="257" t="e">
        <f t="shared" si="1582"/>
        <v>#REF!</v>
      </c>
      <c r="T926" s="257" t="e">
        <f t="shared" si="1583"/>
        <v>#REF!</v>
      </c>
      <c r="U926" s="257" t="e">
        <f t="shared" si="1584"/>
        <v>#REF!</v>
      </c>
      <c r="V926" s="257" t="e">
        <f t="shared" si="1585"/>
        <v>#REF!</v>
      </c>
      <c r="W926" s="257" t="e">
        <f t="shared" si="1586"/>
        <v>#REF!</v>
      </c>
      <c r="X926" s="257" t="e">
        <f t="shared" si="1587"/>
        <v>#REF!</v>
      </c>
      <c r="Y926" s="257" t="e">
        <f t="shared" si="1588"/>
        <v>#REF!</v>
      </c>
      <c r="Z926" s="257" t="e">
        <f t="shared" si="1589"/>
        <v>#REF!</v>
      </c>
    </row>
    <row r="927" spans="1:26" ht="12.75" hidden="1" customHeight="1" x14ac:dyDescent="0.2">
      <c r="A927" s="259" t="s">
        <v>333</v>
      </c>
      <c r="B927" s="252" t="s">
        <v>37</v>
      </c>
      <c r="C927" s="252" t="s">
        <v>196</v>
      </c>
      <c r="D927" s="252" t="s">
        <v>233</v>
      </c>
      <c r="E927" s="260" t="s">
        <v>334</v>
      </c>
      <c r="F927" s="252"/>
      <c r="G927" s="257"/>
      <c r="H927" s="257"/>
      <c r="I927" s="257" t="e">
        <f>#REF!+G927</f>
        <v>#REF!</v>
      </c>
      <c r="J927" s="257" t="e">
        <f t="shared" si="1580"/>
        <v>#REF!</v>
      </c>
      <c r="K927" s="257" t="e">
        <f t="shared" si="1590"/>
        <v>#REF!</v>
      </c>
      <c r="L927" s="257" t="e">
        <f t="shared" si="1590"/>
        <v>#REF!</v>
      </c>
      <c r="M927" s="257" t="e">
        <f t="shared" si="1590"/>
        <v>#REF!</v>
      </c>
      <c r="N927" s="257" t="e">
        <f t="shared" si="1590"/>
        <v>#REF!</v>
      </c>
      <c r="O927" s="257" t="e">
        <f t="shared" si="1590"/>
        <v>#REF!</v>
      </c>
      <c r="P927" s="257" t="e">
        <f t="shared" si="1590"/>
        <v>#REF!</v>
      </c>
      <c r="Q927" s="257" t="e">
        <f t="shared" si="1592"/>
        <v>#REF!</v>
      </c>
      <c r="R927" s="257" t="e">
        <f t="shared" si="1591"/>
        <v>#REF!</v>
      </c>
      <c r="S927" s="257" t="e">
        <f t="shared" si="1582"/>
        <v>#REF!</v>
      </c>
      <c r="T927" s="257" t="e">
        <f t="shared" si="1583"/>
        <v>#REF!</v>
      </c>
      <c r="U927" s="257" t="e">
        <f t="shared" si="1584"/>
        <v>#REF!</v>
      </c>
      <c r="V927" s="257" t="e">
        <f t="shared" si="1585"/>
        <v>#REF!</v>
      </c>
      <c r="W927" s="257" t="e">
        <f t="shared" si="1586"/>
        <v>#REF!</v>
      </c>
      <c r="X927" s="257" t="e">
        <f t="shared" si="1587"/>
        <v>#REF!</v>
      </c>
      <c r="Y927" s="257" t="e">
        <f t="shared" si="1588"/>
        <v>#REF!</v>
      </c>
      <c r="Z927" s="257" t="e">
        <f t="shared" si="1589"/>
        <v>#REF!</v>
      </c>
    </row>
    <row r="928" spans="1:26" ht="12.75" hidden="1" customHeight="1" x14ac:dyDescent="0.2">
      <c r="A928" s="259" t="s">
        <v>320</v>
      </c>
      <c r="B928" s="252" t="s">
        <v>37</v>
      </c>
      <c r="C928" s="252" t="s">
        <v>196</v>
      </c>
      <c r="D928" s="252" t="s">
        <v>233</v>
      </c>
      <c r="E928" s="260" t="s">
        <v>334</v>
      </c>
      <c r="F928" s="252" t="s">
        <v>321</v>
      </c>
      <c r="G928" s="257"/>
      <c r="H928" s="257"/>
      <c r="I928" s="257" t="e">
        <f>#REF!+G928</f>
        <v>#REF!</v>
      </c>
      <c r="J928" s="257" t="e">
        <f t="shared" si="1580"/>
        <v>#REF!</v>
      </c>
      <c r="K928" s="257" t="e">
        <f t="shared" si="1590"/>
        <v>#REF!</v>
      </c>
      <c r="L928" s="257" t="e">
        <f t="shared" si="1590"/>
        <v>#REF!</v>
      </c>
      <c r="M928" s="257" t="e">
        <f t="shared" si="1590"/>
        <v>#REF!</v>
      </c>
      <c r="N928" s="257" t="e">
        <f t="shared" si="1590"/>
        <v>#REF!</v>
      </c>
      <c r="O928" s="257" t="e">
        <f t="shared" si="1590"/>
        <v>#REF!</v>
      </c>
      <c r="P928" s="257" t="e">
        <f t="shared" si="1590"/>
        <v>#REF!</v>
      </c>
      <c r="Q928" s="257" t="e">
        <f t="shared" si="1592"/>
        <v>#REF!</v>
      </c>
      <c r="R928" s="257" t="e">
        <f t="shared" si="1591"/>
        <v>#REF!</v>
      </c>
      <c r="S928" s="257" t="e">
        <f t="shared" si="1582"/>
        <v>#REF!</v>
      </c>
      <c r="T928" s="257" t="e">
        <f t="shared" si="1583"/>
        <v>#REF!</v>
      </c>
      <c r="U928" s="257" t="e">
        <f t="shared" si="1584"/>
        <v>#REF!</v>
      </c>
      <c r="V928" s="257" t="e">
        <f t="shared" si="1585"/>
        <v>#REF!</v>
      </c>
      <c r="W928" s="257" t="e">
        <f t="shared" si="1586"/>
        <v>#REF!</v>
      </c>
      <c r="X928" s="257" t="e">
        <f t="shared" si="1587"/>
        <v>#REF!</v>
      </c>
      <c r="Y928" s="257" t="e">
        <f t="shared" si="1588"/>
        <v>#REF!</v>
      </c>
      <c r="Z928" s="257" t="e">
        <f t="shared" si="1589"/>
        <v>#REF!</v>
      </c>
    </row>
    <row r="929" spans="1:26" ht="12.75" hidden="1" customHeight="1" x14ac:dyDescent="0.2">
      <c r="A929" s="259" t="s">
        <v>302</v>
      </c>
      <c r="B929" s="252" t="s">
        <v>37</v>
      </c>
      <c r="C929" s="252" t="s">
        <v>196</v>
      </c>
      <c r="D929" s="252" t="s">
        <v>233</v>
      </c>
      <c r="E929" s="260" t="s">
        <v>334</v>
      </c>
      <c r="F929" s="252" t="s">
        <v>303</v>
      </c>
      <c r="G929" s="257"/>
      <c r="H929" s="257"/>
      <c r="I929" s="257" t="e">
        <f>#REF!+G929</f>
        <v>#REF!</v>
      </c>
      <c r="J929" s="257" t="e">
        <f t="shared" si="1580"/>
        <v>#REF!</v>
      </c>
      <c r="K929" s="257" t="e">
        <f t="shared" si="1590"/>
        <v>#REF!</v>
      </c>
      <c r="L929" s="257" t="e">
        <f t="shared" si="1590"/>
        <v>#REF!</v>
      </c>
      <c r="M929" s="257" t="e">
        <f t="shared" si="1590"/>
        <v>#REF!</v>
      </c>
      <c r="N929" s="257" t="e">
        <f t="shared" si="1590"/>
        <v>#REF!</v>
      </c>
      <c r="O929" s="257" t="e">
        <f t="shared" si="1590"/>
        <v>#REF!</v>
      </c>
      <c r="P929" s="257" t="e">
        <f t="shared" si="1590"/>
        <v>#REF!</v>
      </c>
      <c r="Q929" s="257" t="e">
        <f t="shared" si="1592"/>
        <v>#REF!</v>
      </c>
      <c r="R929" s="257" t="e">
        <f t="shared" si="1591"/>
        <v>#REF!</v>
      </c>
      <c r="S929" s="257" t="e">
        <f t="shared" si="1582"/>
        <v>#REF!</v>
      </c>
      <c r="T929" s="257" t="e">
        <f t="shared" si="1583"/>
        <v>#REF!</v>
      </c>
      <c r="U929" s="257" t="e">
        <f t="shared" si="1584"/>
        <v>#REF!</v>
      </c>
      <c r="V929" s="257" t="e">
        <f t="shared" si="1585"/>
        <v>#REF!</v>
      </c>
      <c r="W929" s="257" t="e">
        <f t="shared" si="1586"/>
        <v>#REF!</v>
      </c>
      <c r="X929" s="257" t="e">
        <f t="shared" si="1587"/>
        <v>#REF!</v>
      </c>
      <c r="Y929" s="257" t="e">
        <f t="shared" si="1588"/>
        <v>#REF!</v>
      </c>
      <c r="Z929" s="257" t="e">
        <f t="shared" si="1589"/>
        <v>#REF!</v>
      </c>
    </row>
    <row r="930" spans="1:26" ht="25.5" hidden="1" customHeight="1" x14ac:dyDescent="0.2">
      <c r="A930" s="259" t="s">
        <v>39</v>
      </c>
      <c r="B930" s="252" t="s">
        <v>37</v>
      </c>
      <c r="C930" s="252" t="s">
        <v>196</v>
      </c>
      <c r="D930" s="252" t="s">
        <v>233</v>
      </c>
      <c r="E930" s="260" t="s">
        <v>307</v>
      </c>
      <c r="F930" s="252"/>
      <c r="G930" s="257"/>
      <c r="H930" s="257"/>
      <c r="I930" s="257" t="e">
        <f>#REF!+G930</f>
        <v>#REF!</v>
      </c>
      <c r="J930" s="257" t="e">
        <f t="shared" si="1580"/>
        <v>#REF!</v>
      </c>
      <c r="K930" s="257" t="e">
        <f t="shared" si="1590"/>
        <v>#REF!</v>
      </c>
      <c r="L930" s="257" t="e">
        <f t="shared" si="1590"/>
        <v>#REF!</v>
      </c>
      <c r="M930" s="257" t="e">
        <f t="shared" si="1590"/>
        <v>#REF!</v>
      </c>
      <c r="N930" s="257" t="e">
        <f t="shared" si="1590"/>
        <v>#REF!</v>
      </c>
      <c r="O930" s="257" t="e">
        <f t="shared" si="1590"/>
        <v>#REF!</v>
      </c>
      <c r="P930" s="257" t="e">
        <f t="shared" si="1590"/>
        <v>#REF!</v>
      </c>
      <c r="Q930" s="257" t="e">
        <f t="shared" si="1592"/>
        <v>#REF!</v>
      </c>
      <c r="R930" s="257" t="e">
        <f t="shared" si="1591"/>
        <v>#REF!</v>
      </c>
      <c r="S930" s="257" t="e">
        <f t="shared" si="1582"/>
        <v>#REF!</v>
      </c>
      <c r="T930" s="257" t="e">
        <f t="shared" si="1583"/>
        <v>#REF!</v>
      </c>
      <c r="U930" s="257" t="e">
        <f t="shared" si="1584"/>
        <v>#REF!</v>
      </c>
      <c r="V930" s="257" t="e">
        <f t="shared" si="1585"/>
        <v>#REF!</v>
      </c>
      <c r="W930" s="257" t="e">
        <f t="shared" si="1586"/>
        <v>#REF!</v>
      </c>
      <c r="X930" s="257" t="e">
        <f t="shared" si="1587"/>
        <v>#REF!</v>
      </c>
      <c r="Y930" s="257" t="e">
        <f t="shared" si="1588"/>
        <v>#REF!</v>
      </c>
      <c r="Z930" s="257" t="e">
        <f t="shared" si="1589"/>
        <v>#REF!</v>
      </c>
    </row>
    <row r="931" spans="1:26" ht="12.75" hidden="1" customHeight="1" x14ac:dyDescent="0.2">
      <c r="A931" s="259" t="s">
        <v>320</v>
      </c>
      <c r="B931" s="252" t="s">
        <v>37</v>
      </c>
      <c r="C931" s="252" t="s">
        <v>196</v>
      </c>
      <c r="D931" s="252" t="s">
        <v>233</v>
      </c>
      <c r="E931" s="260" t="s">
        <v>307</v>
      </c>
      <c r="F931" s="252" t="s">
        <v>321</v>
      </c>
      <c r="G931" s="257"/>
      <c r="H931" s="257"/>
      <c r="I931" s="257" t="e">
        <f>#REF!+G931</f>
        <v>#REF!</v>
      </c>
      <c r="J931" s="257" t="e">
        <f t="shared" si="1580"/>
        <v>#REF!</v>
      </c>
      <c r="K931" s="257" t="e">
        <f t="shared" si="1590"/>
        <v>#REF!</v>
      </c>
      <c r="L931" s="257" t="e">
        <f t="shared" si="1590"/>
        <v>#REF!</v>
      </c>
      <c r="M931" s="257" t="e">
        <f t="shared" si="1590"/>
        <v>#REF!</v>
      </c>
      <c r="N931" s="257" t="e">
        <f t="shared" si="1590"/>
        <v>#REF!</v>
      </c>
      <c r="O931" s="257" t="e">
        <f t="shared" si="1590"/>
        <v>#REF!</v>
      </c>
      <c r="P931" s="257" t="e">
        <f t="shared" si="1590"/>
        <v>#REF!</v>
      </c>
      <c r="Q931" s="257" t="e">
        <f t="shared" si="1592"/>
        <v>#REF!</v>
      </c>
      <c r="R931" s="257" t="e">
        <f t="shared" si="1591"/>
        <v>#REF!</v>
      </c>
      <c r="S931" s="257" t="e">
        <f t="shared" si="1582"/>
        <v>#REF!</v>
      </c>
      <c r="T931" s="257" t="e">
        <f t="shared" si="1583"/>
        <v>#REF!</v>
      </c>
      <c r="U931" s="257" t="e">
        <f t="shared" si="1584"/>
        <v>#REF!</v>
      </c>
      <c r="V931" s="257" t="e">
        <f t="shared" si="1585"/>
        <v>#REF!</v>
      </c>
      <c r="W931" s="257" t="e">
        <f t="shared" si="1586"/>
        <v>#REF!</v>
      </c>
      <c r="X931" s="257" t="e">
        <f t="shared" si="1587"/>
        <v>#REF!</v>
      </c>
      <c r="Y931" s="257" t="e">
        <f t="shared" si="1588"/>
        <v>#REF!</v>
      </c>
      <c r="Z931" s="257" t="e">
        <f t="shared" si="1589"/>
        <v>#REF!</v>
      </c>
    </row>
    <row r="932" spans="1:26" ht="51" hidden="1" customHeight="1" x14ac:dyDescent="0.2">
      <c r="A932" s="525" t="s">
        <v>40</v>
      </c>
      <c r="B932" s="526"/>
      <c r="C932" s="526"/>
      <c r="D932" s="526"/>
      <c r="E932" s="526"/>
      <c r="F932" s="526"/>
      <c r="G932" s="257"/>
      <c r="H932" s="257"/>
      <c r="I932" s="257" t="e">
        <f>#REF!+G932</f>
        <v>#REF!</v>
      </c>
      <c r="J932" s="257" t="e">
        <f t="shared" si="1580"/>
        <v>#REF!</v>
      </c>
      <c r="K932" s="257" t="e">
        <f t="shared" si="1590"/>
        <v>#REF!</v>
      </c>
      <c r="L932" s="257" t="e">
        <f t="shared" si="1590"/>
        <v>#REF!</v>
      </c>
      <c r="M932" s="257" t="e">
        <f t="shared" si="1590"/>
        <v>#REF!</v>
      </c>
      <c r="N932" s="257" t="e">
        <f t="shared" si="1590"/>
        <v>#REF!</v>
      </c>
      <c r="O932" s="257" t="e">
        <f t="shared" si="1590"/>
        <v>#REF!</v>
      </c>
      <c r="P932" s="257" t="e">
        <f t="shared" si="1590"/>
        <v>#REF!</v>
      </c>
      <c r="Q932" s="257" t="e">
        <f t="shared" si="1592"/>
        <v>#REF!</v>
      </c>
      <c r="R932" s="257" t="e">
        <f t="shared" si="1591"/>
        <v>#REF!</v>
      </c>
      <c r="S932" s="257" t="e">
        <f t="shared" si="1582"/>
        <v>#REF!</v>
      </c>
      <c r="T932" s="257" t="e">
        <f t="shared" si="1583"/>
        <v>#REF!</v>
      </c>
      <c r="U932" s="257" t="e">
        <f t="shared" si="1584"/>
        <v>#REF!</v>
      </c>
      <c r="V932" s="257" t="e">
        <f t="shared" si="1585"/>
        <v>#REF!</v>
      </c>
      <c r="W932" s="257" t="e">
        <f t="shared" si="1586"/>
        <v>#REF!</v>
      </c>
      <c r="X932" s="257" t="e">
        <f t="shared" si="1587"/>
        <v>#REF!</v>
      </c>
      <c r="Y932" s="257" t="e">
        <f t="shared" si="1588"/>
        <v>#REF!</v>
      </c>
      <c r="Z932" s="257" t="e">
        <f t="shared" si="1589"/>
        <v>#REF!</v>
      </c>
    </row>
    <row r="933" spans="1:26" ht="12.75" hidden="1" customHeight="1" x14ac:dyDescent="0.2">
      <c r="A933" s="462" t="s">
        <v>364</v>
      </c>
      <c r="B933" s="249">
        <v>811</v>
      </c>
      <c r="C933" s="250" t="s">
        <v>192</v>
      </c>
      <c r="D933" s="250"/>
      <c r="E933" s="250"/>
      <c r="F933" s="250"/>
      <c r="G933" s="257"/>
      <c r="H933" s="257"/>
      <c r="I933" s="257" t="e">
        <f>#REF!+G933</f>
        <v>#REF!</v>
      </c>
      <c r="J933" s="257" t="e">
        <f t="shared" si="1580"/>
        <v>#REF!</v>
      </c>
      <c r="K933" s="257" t="e">
        <f t="shared" si="1590"/>
        <v>#REF!</v>
      </c>
      <c r="L933" s="257" t="e">
        <f t="shared" si="1590"/>
        <v>#REF!</v>
      </c>
      <c r="M933" s="257" t="e">
        <f t="shared" si="1590"/>
        <v>#REF!</v>
      </c>
      <c r="N933" s="257" t="e">
        <f t="shared" si="1590"/>
        <v>#REF!</v>
      </c>
      <c r="O933" s="257" t="e">
        <f t="shared" si="1590"/>
        <v>#REF!</v>
      </c>
      <c r="P933" s="257" t="e">
        <f t="shared" si="1590"/>
        <v>#REF!</v>
      </c>
      <c r="Q933" s="257" t="e">
        <f t="shared" si="1592"/>
        <v>#REF!</v>
      </c>
      <c r="R933" s="257" t="e">
        <f t="shared" si="1591"/>
        <v>#REF!</v>
      </c>
      <c r="S933" s="257" t="e">
        <f t="shared" si="1582"/>
        <v>#REF!</v>
      </c>
      <c r="T933" s="257" t="e">
        <f t="shared" si="1583"/>
        <v>#REF!</v>
      </c>
      <c r="U933" s="257" t="e">
        <f t="shared" si="1584"/>
        <v>#REF!</v>
      </c>
      <c r="V933" s="257" t="e">
        <f t="shared" si="1585"/>
        <v>#REF!</v>
      </c>
      <c r="W933" s="257" t="e">
        <f t="shared" si="1586"/>
        <v>#REF!</v>
      </c>
      <c r="X933" s="257" t="e">
        <f t="shared" si="1587"/>
        <v>#REF!</v>
      </c>
      <c r="Y933" s="257" t="e">
        <f t="shared" si="1588"/>
        <v>#REF!</v>
      </c>
      <c r="Z933" s="257" t="e">
        <f t="shared" si="1589"/>
        <v>#REF!</v>
      </c>
    </row>
    <row r="934" spans="1:26" ht="12.75" hidden="1" customHeight="1" x14ac:dyDescent="0.2">
      <c r="A934" s="462" t="s">
        <v>250</v>
      </c>
      <c r="B934" s="249">
        <v>811</v>
      </c>
      <c r="C934" s="250" t="s">
        <v>192</v>
      </c>
      <c r="D934" s="250" t="s">
        <v>196</v>
      </c>
      <c r="E934" s="250"/>
      <c r="F934" s="250"/>
      <c r="G934" s="257"/>
      <c r="H934" s="257"/>
      <c r="I934" s="257" t="e">
        <f>#REF!+G934</f>
        <v>#REF!</v>
      </c>
      <c r="J934" s="257" t="e">
        <f t="shared" si="1580"/>
        <v>#REF!</v>
      </c>
      <c r="K934" s="257" t="e">
        <f t="shared" si="1590"/>
        <v>#REF!</v>
      </c>
      <c r="L934" s="257" t="e">
        <f t="shared" si="1590"/>
        <v>#REF!</v>
      </c>
      <c r="M934" s="257" t="e">
        <f t="shared" si="1590"/>
        <v>#REF!</v>
      </c>
      <c r="N934" s="257" t="e">
        <f t="shared" si="1590"/>
        <v>#REF!</v>
      </c>
      <c r="O934" s="257" t="e">
        <f t="shared" si="1590"/>
        <v>#REF!</v>
      </c>
      <c r="P934" s="257" t="e">
        <f t="shared" si="1590"/>
        <v>#REF!</v>
      </c>
      <c r="Q934" s="257" t="e">
        <f t="shared" si="1592"/>
        <v>#REF!</v>
      </c>
      <c r="R934" s="257" t="e">
        <f t="shared" si="1591"/>
        <v>#REF!</v>
      </c>
      <c r="S934" s="257" t="e">
        <f t="shared" si="1582"/>
        <v>#REF!</v>
      </c>
      <c r="T934" s="257" t="e">
        <f t="shared" si="1583"/>
        <v>#REF!</v>
      </c>
      <c r="U934" s="257" t="e">
        <f t="shared" si="1584"/>
        <v>#REF!</v>
      </c>
      <c r="V934" s="257" t="e">
        <f t="shared" si="1585"/>
        <v>#REF!</v>
      </c>
      <c r="W934" s="257" t="e">
        <f t="shared" si="1586"/>
        <v>#REF!</v>
      </c>
      <c r="X934" s="257" t="e">
        <f t="shared" si="1587"/>
        <v>#REF!</v>
      </c>
      <c r="Y934" s="257" t="e">
        <f t="shared" si="1588"/>
        <v>#REF!</v>
      </c>
      <c r="Z934" s="257" t="e">
        <f t="shared" si="1589"/>
        <v>#REF!</v>
      </c>
    </row>
    <row r="935" spans="1:26" ht="25.5" hidden="1" customHeight="1" x14ac:dyDescent="0.2">
      <c r="A935" s="259" t="s">
        <v>251</v>
      </c>
      <c r="B935" s="271">
        <v>811</v>
      </c>
      <c r="C935" s="252" t="s">
        <v>192</v>
      </c>
      <c r="D935" s="252" t="s">
        <v>196</v>
      </c>
      <c r="E935" s="252" t="s">
        <v>252</v>
      </c>
      <c r="F935" s="252"/>
      <c r="G935" s="257"/>
      <c r="H935" s="257"/>
      <c r="I935" s="257" t="e">
        <f>#REF!+G935</f>
        <v>#REF!</v>
      </c>
      <c r="J935" s="257" t="e">
        <f t="shared" si="1580"/>
        <v>#REF!</v>
      </c>
      <c r="K935" s="257" t="e">
        <f t="shared" si="1590"/>
        <v>#REF!</v>
      </c>
      <c r="L935" s="257" t="e">
        <f t="shared" si="1590"/>
        <v>#REF!</v>
      </c>
      <c r="M935" s="257" t="e">
        <f t="shared" si="1590"/>
        <v>#REF!</v>
      </c>
      <c r="N935" s="257" t="e">
        <f t="shared" si="1590"/>
        <v>#REF!</v>
      </c>
      <c r="O935" s="257" t="e">
        <f t="shared" si="1590"/>
        <v>#REF!</v>
      </c>
      <c r="P935" s="257" t="e">
        <f t="shared" si="1590"/>
        <v>#REF!</v>
      </c>
      <c r="Q935" s="257" t="e">
        <f t="shared" si="1592"/>
        <v>#REF!</v>
      </c>
      <c r="R935" s="257" t="e">
        <f t="shared" si="1591"/>
        <v>#REF!</v>
      </c>
      <c r="S935" s="257" t="e">
        <f t="shared" si="1582"/>
        <v>#REF!</v>
      </c>
      <c r="T935" s="257" t="e">
        <f t="shared" si="1583"/>
        <v>#REF!</v>
      </c>
      <c r="U935" s="257" t="e">
        <f t="shared" si="1584"/>
        <v>#REF!</v>
      </c>
      <c r="V935" s="257" t="e">
        <f t="shared" si="1585"/>
        <v>#REF!</v>
      </c>
      <c r="W935" s="257" t="e">
        <f t="shared" si="1586"/>
        <v>#REF!</v>
      </c>
      <c r="X935" s="257" t="e">
        <f t="shared" si="1587"/>
        <v>#REF!</v>
      </c>
      <c r="Y935" s="257" t="e">
        <f t="shared" si="1588"/>
        <v>#REF!</v>
      </c>
      <c r="Z935" s="257" t="e">
        <f t="shared" si="1589"/>
        <v>#REF!</v>
      </c>
    </row>
    <row r="936" spans="1:26" ht="25.5" hidden="1" customHeight="1" x14ac:dyDescent="0.2">
      <c r="A936" s="259" t="s">
        <v>253</v>
      </c>
      <c r="B936" s="271">
        <v>811</v>
      </c>
      <c r="C936" s="252" t="s">
        <v>192</v>
      </c>
      <c r="D936" s="252" t="s">
        <v>196</v>
      </c>
      <c r="E936" s="252" t="s">
        <v>254</v>
      </c>
      <c r="F936" s="252"/>
      <c r="G936" s="257"/>
      <c r="H936" s="257"/>
      <c r="I936" s="257" t="e">
        <f>#REF!+G936</f>
        <v>#REF!</v>
      </c>
      <c r="J936" s="257" t="e">
        <f t="shared" si="1580"/>
        <v>#REF!</v>
      </c>
      <c r="K936" s="257" t="e">
        <f t="shared" si="1590"/>
        <v>#REF!</v>
      </c>
      <c r="L936" s="257" t="e">
        <f t="shared" si="1590"/>
        <v>#REF!</v>
      </c>
      <c r="M936" s="257" t="e">
        <f t="shared" si="1590"/>
        <v>#REF!</v>
      </c>
      <c r="N936" s="257" t="e">
        <f t="shared" si="1590"/>
        <v>#REF!</v>
      </c>
      <c r="O936" s="257" t="e">
        <f t="shared" si="1590"/>
        <v>#REF!</v>
      </c>
      <c r="P936" s="257" t="e">
        <f t="shared" si="1590"/>
        <v>#REF!</v>
      </c>
      <c r="Q936" s="257" t="e">
        <f t="shared" si="1592"/>
        <v>#REF!</v>
      </c>
      <c r="R936" s="257" t="e">
        <f t="shared" si="1591"/>
        <v>#REF!</v>
      </c>
      <c r="S936" s="257" t="e">
        <f t="shared" si="1582"/>
        <v>#REF!</v>
      </c>
      <c r="T936" s="257" t="e">
        <f t="shared" si="1583"/>
        <v>#REF!</v>
      </c>
      <c r="U936" s="257" t="e">
        <f t="shared" si="1584"/>
        <v>#REF!</v>
      </c>
      <c r="V936" s="257" t="e">
        <f t="shared" si="1585"/>
        <v>#REF!</v>
      </c>
      <c r="W936" s="257" t="e">
        <f t="shared" si="1586"/>
        <v>#REF!</v>
      </c>
      <c r="X936" s="257" t="e">
        <f t="shared" si="1587"/>
        <v>#REF!</v>
      </c>
      <c r="Y936" s="257" t="e">
        <f t="shared" si="1588"/>
        <v>#REF!</v>
      </c>
      <c r="Z936" s="257" t="e">
        <f t="shared" si="1589"/>
        <v>#REF!</v>
      </c>
    </row>
    <row r="937" spans="1:26" ht="12.75" hidden="1" customHeight="1" x14ac:dyDescent="0.2">
      <c r="A937" s="259" t="s">
        <v>320</v>
      </c>
      <c r="B937" s="271">
        <v>811</v>
      </c>
      <c r="C937" s="252" t="s">
        <v>192</v>
      </c>
      <c r="D937" s="252" t="s">
        <v>196</v>
      </c>
      <c r="E937" s="252" t="s">
        <v>254</v>
      </c>
      <c r="F937" s="252" t="s">
        <v>321</v>
      </c>
      <c r="G937" s="257"/>
      <c r="H937" s="257"/>
      <c r="I937" s="257" t="e">
        <f>#REF!+G937</f>
        <v>#REF!</v>
      </c>
      <c r="J937" s="257" t="e">
        <f t="shared" si="1580"/>
        <v>#REF!</v>
      </c>
      <c r="K937" s="257" t="e">
        <f t="shared" si="1590"/>
        <v>#REF!</v>
      </c>
      <c r="L937" s="257" t="e">
        <f t="shared" si="1590"/>
        <v>#REF!</v>
      </c>
      <c r="M937" s="257" t="e">
        <f t="shared" si="1590"/>
        <v>#REF!</v>
      </c>
      <c r="N937" s="257" t="e">
        <f t="shared" si="1590"/>
        <v>#REF!</v>
      </c>
      <c r="O937" s="257" t="e">
        <f t="shared" si="1590"/>
        <v>#REF!</v>
      </c>
      <c r="P937" s="257" t="e">
        <f t="shared" si="1590"/>
        <v>#REF!</v>
      </c>
      <c r="Q937" s="257" t="e">
        <f t="shared" si="1592"/>
        <v>#REF!</v>
      </c>
      <c r="R937" s="257" t="e">
        <f t="shared" si="1591"/>
        <v>#REF!</v>
      </c>
      <c r="S937" s="257" t="e">
        <f t="shared" si="1582"/>
        <v>#REF!</v>
      </c>
      <c r="T937" s="257" t="e">
        <f t="shared" si="1583"/>
        <v>#REF!</v>
      </c>
      <c r="U937" s="257" t="e">
        <f t="shared" si="1584"/>
        <v>#REF!</v>
      </c>
      <c r="V937" s="257" t="e">
        <f t="shared" si="1585"/>
        <v>#REF!</v>
      </c>
      <c r="W937" s="257" t="e">
        <f t="shared" si="1586"/>
        <v>#REF!</v>
      </c>
      <c r="X937" s="257" t="e">
        <f t="shared" si="1587"/>
        <v>#REF!</v>
      </c>
      <c r="Y937" s="257" t="e">
        <f t="shared" si="1588"/>
        <v>#REF!</v>
      </c>
      <c r="Z937" s="257" t="e">
        <f t="shared" si="1589"/>
        <v>#REF!</v>
      </c>
    </row>
    <row r="938" spans="1:26" ht="12.75" hidden="1" customHeight="1" x14ac:dyDescent="0.2">
      <c r="A938" s="462" t="s">
        <v>236</v>
      </c>
      <c r="B938" s="249">
        <v>811</v>
      </c>
      <c r="C938" s="250" t="s">
        <v>194</v>
      </c>
      <c r="D938" s="250"/>
      <c r="E938" s="250"/>
      <c r="F938" s="250"/>
      <c r="G938" s="257"/>
      <c r="H938" s="257"/>
      <c r="I938" s="257" t="e">
        <f>#REF!+G938</f>
        <v>#REF!</v>
      </c>
      <c r="J938" s="257" t="e">
        <f t="shared" ref="J938:J1001" si="1593">H938+I938</f>
        <v>#REF!</v>
      </c>
      <c r="K938" s="257" t="e">
        <f t="shared" si="1590"/>
        <v>#REF!</v>
      </c>
      <c r="L938" s="257" t="e">
        <f t="shared" si="1590"/>
        <v>#REF!</v>
      </c>
      <c r="M938" s="257" t="e">
        <f t="shared" si="1590"/>
        <v>#REF!</v>
      </c>
      <c r="N938" s="257" t="e">
        <f t="shared" si="1590"/>
        <v>#REF!</v>
      </c>
      <c r="O938" s="257" t="e">
        <f t="shared" si="1590"/>
        <v>#REF!</v>
      </c>
      <c r="P938" s="257" t="e">
        <f t="shared" si="1590"/>
        <v>#REF!</v>
      </c>
      <c r="Q938" s="257" t="e">
        <f t="shared" si="1592"/>
        <v>#REF!</v>
      </c>
      <c r="R938" s="257" t="e">
        <f t="shared" si="1591"/>
        <v>#REF!</v>
      </c>
      <c r="S938" s="257" t="e">
        <f t="shared" ref="S938:S1001" si="1594">Q938+R938</f>
        <v>#REF!</v>
      </c>
      <c r="T938" s="257" t="e">
        <f t="shared" ref="T938:T1001" si="1595">R938+S938</f>
        <v>#REF!</v>
      </c>
      <c r="U938" s="257" t="e">
        <f t="shared" ref="U938:U1001" si="1596">S938+T938</f>
        <v>#REF!</v>
      </c>
      <c r="V938" s="257" t="e">
        <f t="shared" ref="V938:V1001" si="1597">T938+U938</f>
        <v>#REF!</v>
      </c>
      <c r="W938" s="257" t="e">
        <f t="shared" ref="W938:W1001" si="1598">U938+V938</f>
        <v>#REF!</v>
      </c>
      <c r="X938" s="257" t="e">
        <f t="shared" ref="X938:X1001" si="1599">V938+W938</f>
        <v>#REF!</v>
      </c>
      <c r="Y938" s="257" t="e">
        <f t="shared" ref="Y938:Y1001" si="1600">W938+X938</f>
        <v>#REF!</v>
      </c>
      <c r="Z938" s="257" t="e">
        <f t="shared" ref="Z938:Z1001" si="1601">X938+Y938</f>
        <v>#REF!</v>
      </c>
    </row>
    <row r="939" spans="1:26" ht="25.5" hidden="1" customHeight="1" x14ac:dyDescent="0.2">
      <c r="A939" s="462" t="s">
        <v>255</v>
      </c>
      <c r="B939" s="249">
        <v>811</v>
      </c>
      <c r="C939" s="250" t="s">
        <v>194</v>
      </c>
      <c r="D939" s="250" t="s">
        <v>212</v>
      </c>
      <c r="E939" s="250"/>
      <c r="F939" s="250"/>
      <c r="G939" s="257"/>
      <c r="H939" s="257"/>
      <c r="I939" s="257" t="e">
        <f>#REF!+G939</f>
        <v>#REF!</v>
      </c>
      <c r="J939" s="257" t="e">
        <f t="shared" si="1593"/>
        <v>#REF!</v>
      </c>
      <c r="K939" s="257" t="e">
        <f t="shared" si="1590"/>
        <v>#REF!</v>
      </c>
      <c r="L939" s="257" t="e">
        <f t="shared" si="1590"/>
        <v>#REF!</v>
      </c>
      <c r="M939" s="257" t="e">
        <f t="shared" si="1590"/>
        <v>#REF!</v>
      </c>
      <c r="N939" s="257" t="e">
        <f t="shared" si="1590"/>
        <v>#REF!</v>
      </c>
      <c r="O939" s="257" t="e">
        <f t="shared" si="1590"/>
        <v>#REF!</v>
      </c>
      <c r="P939" s="257" t="e">
        <f t="shared" si="1590"/>
        <v>#REF!</v>
      </c>
      <c r="Q939" s="257" t="e">
        <f t="shared" si="1592"/>
        <v>#REF!</v>
      </c>
      <c r="R939" s="257" t="e">
        <f t="shared" si="1591"/>
        <v>#REF!</v>
      </c>
      <c r="S939" s="257" t="e">
        <f t="shared" si="1594"/>
        <v>#REF!</v>
      </c>
      <c r="T939" s="257" t="e">
        <f t="shared" si="1595"/>
        <v>#REF!</v>
      </c>
      <c r="U939" s="257" t="e">
        <f t="shared" si="1596"/>
        <v>#REF!</v>
      </c>
      <c r="V939" s="257" t="e">
        <f t="shared" si="1597"/>
        <v>#REF!</v>
      </c>
      <c r="W939" s="257" t="e">
        <f t="shared" si="1598"/>
        <v>#REF!</v>
      </c>
      <c r="X939" s="257" t="e">
        <f t="shared" si="1599"/>
        <v>#REF!</v>
      </c>
      <c r="Y939" s="257" t="e">
        <f t="shared" si="1600"/>
        <v>#REF!</v>
      </c>
      <c r="Z939" s="257" t="e">
        <f t="shared" si="1601"/>
        <v>#REF!</v>
      </c>
    </row>
    <row r="940" spans="1:26" ht="12.75" hidden="1" customHeight="1" x14ac:dyDescent="0.2">
      <c r="A940" s="259" t="s">
        <v>237</v>
      </c>
      <c r="B940" s="271">
        <v>811</v>
      </c>
      <c r="C940" s="252" t="s">
        <v>194</v>
      </c>
      <c r="D940" s="252" t="s">
        <v>212</v>
      </c>
      <c r="E940" s="252" t="s">
        <v>238</v>
      </c>
      <c r="F940" s="252"/>
      <c r="G940" s="257"/>
      <c r="H940" s="257"/>
      <c r="I940" s="257" t="e">
        <f>#REF!+G940</f>
        <v>#REF!</v>
      </c>
      <c r="J940" s="257" t="e">
        <f t="shared" si="1593"/>
        <v>#REF!</v>
      </c>
      <c r="K940" s="257" t="e">
        <f t="shared" ref="K940:Q980" si="1602">H940+I940</f>
        <v>#REF!</v>
      </c>
      <c r="L940" s="257" t="e">
        <f t="shared" si="1602"/>
        <v>#REF!</v>
      </c>
      <c r="M940" s="257" t="e">
        <f t="shared" si="1602"/>
        <v>#REF!</v>
      </c>
      <c r="N940" s="257" t="e">
        <f t="shared" si="1602"/>
        <v>#REF!</v>
      </c>
      <c r="O940" s="257" t="e">
        <f t="shared" si="1602"/>
        <v>#REF!</v>
      </c>
      <c r="P940" s="257" t="e">
        <f t="shared" si="1602"/>
        <v>#REF!</v>
      </c>
      <c r="Q940" s="257" t="e">
        <f t="shared" si="1592"/>
        <v>#REF!</v>
      </c>
      <c r="R940" s="257" t="e">
        <f t="shared" si="1591"/>
        <v>#REF!</v>
      </c>
      <c r="S940" s="257" t="e">
        <f t="shared" si="1594"/>
        <v>#REF!</v>
      </c>
      <c r="T940" s="257" t="e">
        <f t="shared" si="1595"/>
        <v>#REF!</v>
      </c>
      <c r="U940" s="257" t="e">
        <f t="shared" si="1596"/>
        <v>#REF!</v>
      </c>
      <c r="V940" s="257" t="e">
        <f t="shared" si="1597"/>
        <v>#REF!</v>
      </c>
      <c r="W940" s="257" t="e">
        <f t="shared" si="1598"/>
        <v>#REF!</v>
      </c>
      <c r="X940" s="257" t="e">
        <f t="shared" si="1599"/>
        <v>#REF!</v>
      </c>
      <c r="Y940" s="257" t="e">
        <f t="shared" si="1600"/>
        <v>#REF!</v>
      </c>
      <c r="Z940" s="257" t="e">
        <f t="shared" si="1601"/>
        <v>#REF!</v>
      </c>
    </row>
    <row r="941" spans="1:26" ht="38.25" hidden="1" customHeight="1" x14ac:dyDescent="0.2">
      <c r="A941" s="259" t="s">
        <v>41</v>
      </c>
      <c r="B941" s="271">
        <v>811</v>
      </c>
      <c r="C941" s="252" t="s">
        <v>194</v>
      </c>
      <c r="D941" s="252" t="s">
        <v>212</v>
      </c>
      <c r="E941" s="252" t="s">
        <v>241</v>
      </c>
      <c r="F941" s="252"/>
      <c r="G941" s="257"/>
      <c r="H941" s="257"/>
      <c r="I941" s="257" t="e">
        <f>#REF!+G941</f>
        <v>#REF!</v>
      </c>
      <c r="J941" s="257" t="e">
        <f t="shared" si="1593"/>
        <v>#REF!</v>
      </c>
      <c r="K941" s="257" t="e">
        <f t="shared" si="1602"/>
        <v>#REF!</v>
      </c>
      <c r="L941" s="257" t="e">
        <f t="shared" si="1602"/>
        <v>#REF!</v>
      </c>
      <c r="M941" s="257" t="e">
        <f t="shared" si="1602"/>
        <v>#REF!</v>
      </c>
      <c r="N941" s="257" t="e">
        <f t="shared" si="1602"/>
        <v>#REF!</v>
      </c>
      <c r="O941" s="257" t="e">
        <f t="shared" si="1602"/>
        <v>#REF!</v>
      </c>
      <c r="P941" s="257" t="e">
        <f t="shared" si="1602"/>
        <v>#REF!</v>
      </c>
      <c r="Q941" s="257" t="e">
        <f t="shared" si="1592"/>
        <v>#REF!</v>
      </c>
      <c r="R941" s="257" t="e">
        <f t="shared" si="1591"/>
        <v>#REF!</v>
      </c>
      <c r="S941" s="257" t="e">
        <f t="shared" si="1594"/>
        <v>#REF!</v>
      </c>
      <c r="T941" s="257" t="e">
        <f t="shared" si="1595"/>
        <v>#REF!</v>
      </c>
      <c r="U941" s="257" t="e">
        <f t="shared" si="1596"/>
        <v>#REF!</v>
      </c>
      <c r="V941" s="257" t="e">
        <f t="shared" si="1597"/>
        <v>#REF!</v>
      </c>
      <c r="W941" s="257" t="e">
        <f t="shared" si="1598"/>
        <v>#REF!</v>
      </c>
      <c r="X941" s="257" t="e">
        <f t="shared" si="1599"/>
        <v>#REF!</v>
      </c>
      <c r="Y941" s="257" t="e">
        <f t="shared" si="1600"/>
        <v>#REF!</v>
      </c>
      <c r="Z941" s="257" t="e">
        <f t="shared" si="1601"/>
        <v>#REF!</v>
      </c>
    </row>
    <row r="942" spans="1:26" ht="25.5" hidden="1" customHeight="1" x14ac:dyDescent="0.2">
      <c r="A942" s="259" t="s">
        <v>239</v>
      </c>
      <c r="B942" s="271">
        <v>811</v>
      </c>
      <c r="C942" s="252" t="s">
        <v>194</v>
      </c>
      <c r="D942" s="252" t="s">
        <v>212</v>
      </c>
      <c r="E942" s="252" t="s">
        <v>241</v>
      </c>
      <c r="F942" s="252" t="s">
        <v>240</v>
      </c>
      <c r="G942" s="257"/>
      <c r="H942" s="257"/>
      <c r="I942" s="257" t="e">
        <f>#REF!+G942</f>
        <v>#REF!</v>
      </c>
      <c r="J942" s="257" t="e">
        <f t="shared" si="1593"/>
        <v>#REF!</v>
      </c>
      <c r="K942" s="257" t="e">
        <f t="shared" si="1602"/>
        <v>#REF!</v>
      </c>
      <c r="L942" s="257" t="e">
        <f t="shared" si="1602"/>
        <v>#REF!</v>
      </c>
      <c r="M942" s="257" t="e">
        <f t="shared" si="1602"/>
        <v>#REF!</v>
      </c>
      <c r="N942" s="257" t="e">
        <f t="shared" si="1602"/>
        <v>#REF!</v>
      </c>
      <c r="O942" s="257" t="e">
        <f t="shared" si="1602"/>
        <v>#REF!</v>
      </c>
      <c r="P942" s="257" t="e">
        <f t="shared" si="1602"/>
        <v>#REF!</v>
      </c>
      <c r="Q942" s="257" t="e">
        <f t="shared" si="1592"/>
        <v>#REF!</v>
      </c>
      <c r="R942" s="257" t="e">
        <f t="shared" si="1591"/>
        <v>#REF!</v>
      </c>
      <c r="S942" s="257" t="e">
        <f t="shared" si="1594"/>
        <v>#REF!</v>
      </c>
      <c r="T942" s="257" t="e">
        <f t="shared" si="1595"/>
        <v>#REF!</v>
      </c>
      <c r="U942" s="257" t="e">
        <f t="shared" si="1596"/>
        <v>#REF!</v>
      </c>
      <c r="V942" s="257" t="e">
        <f t="shared" si="1597"/>
        <v>#REF!</v>
      </c>
      <c r="W942" s="257" t="e">
        <f t="shared" si="1598"/>
        <v>#REF!</v>
      </c>
      <c r="X942" s="257" t="e">
        <f t="shared" si="1599"/>
        <v>#REF!</v>
      </c>
      <c r="Y942" s="257" t="e">
        <f t="shared" si="1600"/>
        <v>#REF!</v>
      </c>
      <c r="Z942" s="257" t="e">
        <f t="shared" si="1601"/>
        <v>#REF!</v>
      </c>
    </row>
    <row r="943" spans="1:26" ht="38.25" hidden="1" customHeight="1" x14ac:dyDescent="0.2">
      <c r="A943" s="259" t="s">
        <v>242</v>
      </c>
      <c r="B943" s="271">
        <v>811</v>
      </c>
      <c r="C943" s="252" t="s">
        <v>194</v>
      </c>
      <c r="D943" s="252" t="s">
        <v>212</v>
      </c>
      <c r="E943" s="252" t="s">
        <v>243</v>
      </c>
      <c r="F943" s="252"/>
      <c r="G943" s="257"/>
      <c r="H943" s="257"/>
      <c r="I943" s="257" t="e">
        <f>#REF!+G943</f>
        <v>#REF!</v>
      </c>
      <c r="J943" s="257" t="e">
        <f t="shared" si="1593"/>
        <v>#REF!</v>
      </c>
      <c r="K943" s="257" t="e">
        <f t="shared" si="1602"/>
        <v>#REF!</v>
      </c>
      <c r="L943" s="257" t="e">
        <f t="shared" si="1602"/>
        <v>#REF!</v>
      </c>
      <c r="M943" s="257" t="e">
        <f t="shared" si="1602"/>
        <v>#REF!</v>
      </c>
      <c r="N943" s="257" t="e">
        <f t="shared" si="1602"/>
        <v>#REF!</v>
      </c>
      <c r="O943" s="257" t="e">
        <f t="shared" si="1602"/>
        <v>#REF!</v>
      </c>
      <c r="P943" s="257" t="e">
        <f t="shared" si="1602"/>
        <v>#REF!</v>
      </c>
      <c r="Q943" s="257" t="e">
        <f t="shared" si="1592"/>
        <v>#REF!</v>
      </c>
      <c r="R943" s="257" t="e">
        <f t="shared" si="1591"/>
        <v>#REF!</v>
      </c>
      <c r="S943" s="257" t="e">
        <f t="shared" si="1594"/>
        <v>#REF!</v>
      </c>
      <c r="T943" s="257" t="e">
        <f t="shared" si="1595"/>
        <v>#REF!</v>
      </c>
      <c r="U943" s="257" t="e">
        <f t="shared" si="1596"/>
        <v>#REF!</v>
      </c>
      <c r="V943" s="257" t="e">
        <f t="shared" si="1597"/>
        <v>#REF!</v>
      </c>
      <c r="W943" s="257" t="e">
        <f t="shared" si="1598"/>
        <v>#REF!</v>
      </c>
      <c r="X943" s="257" t="e">
        <f t="shared" si="1599"/>
        <v>#REF!</v>
      </c>
      <c r="Y943" s="257" t="e">
        <f t="shared" si="1600"/>
        <v>#REF!</v>
      </c>
      <c r="Z943" s="257" t="e">
        <f t="shared" si="1601"/>
        <v>#REF!</v>
      </c>
    </row>
    <row r="944" spans="1:26" ht="25.5" hidden="1" customHeight="1" x14ac:dyDescent="0.2">
      <c r="A944" s="259" t="s">
        <v>239</v>
      </c>
      <c r="B944" s="271">
        <v>811</v>
      </c>
      <c r="C944" s="252" t="s">
        <v>194</v>
      </c>
      <c r="D944" s="252" t="s">
        <v>212</v>
      </c>
      <c r="E944" s="252" t="s">
        <v>243</v>
      </c>
      <c r="F944" s="252" t="s">
        <v>240</v>
      </c>
      <c r="G944" s="257"/>
      <c r="H944" s="257"/>
      <c r="I944" s="257" t="e">
        <f>#REF!+G944</f>
        <v>#REF!</v>
      </c>
      <c r="J944" s="257" t="e">
        <f t="shared" si="1593"/>
        <v>#REF!</v>
      </c>
      <c r="K944" s="257" t="e">
        <f t="shared" si="1602"/>
        <v>#REF!</v>
      </c>
      <c r="L944" s="257" t="e">
        <f t="shared" si="1602"/>
        <v>#REF!</v>
      </c>
      <c r="M944" s="257" t="e">
        <f t="shared" si="1602"/>
        <v>#REF!</v>
      </c>
      <c r="N944" s="257" t="e">
        <f t="shared" si="1602"/>
        <v>#REF!</v>
      </c>
      <c r="O944" s="257" t="e">
        <f t="shared" si="1602"/>
        <v>#REF!</v>
      </c>
      <c r="P944" s="257" t="e">
        <f t="shared" si="1602"/>
        <v>#REF!</v>
      </c>
      <c r="Q944" s="257" t="e">
        <f t="shared" si="1592"/>
        <v>#REF!</v>
      </c>
      <c r="R944" s="257" t="e">
        <f t="shared" si="1591"/>
        <v>#REF!</v>
      </c>
      <c r="S944" s="257" t="e">
        <f t="shared" si="1594"/>
        <v>#REF!</v>
      </c>
      <c r="T944" s="257" t="e">
        <f t="shared" si="1595"/>
        <v>#REF!</v>
      </c>
      <c r="U944" s="257" t="e">
        <f t="shared" si="1596"/>
        <v>#REF!</v>
      </c>
      <c r="V944" s="257" t="e">
        <f t="shared" si="1597"/>
        <v>#REF!</v>
      </c>
      <c r="W944" s="257" t="e">
        <f t="shared" si="1598"/>
        <v>#REF!</v>
      </c>
      <c r="X944" s="257" t="e">
        <f t="shared" si="1599"/>
        <v>#REF!</v>
      </c>
      <c r="Y944" s="257" t="e">
        <f t="shared" si="1600"/>
        <v>#REF!</v>
      </c>
      <c r="Z944" s="257" t="e">
        <f t="shared" si="1601"/>
        <v>#REF!</v>
      </c>
    </row>
    <row r="945" spans="1:26" ht="25.5" hidden="1" customHeight="1" x14ac:dyDescent="0.2">
      <c r="A945" s="259" t="s">
        <v>256</v>
      </c>
      <c r="B945" s="271">
        <v>811</v>
      </c>
      <c r="C945" s="252" t="s">
        <v>194</v>
      </c>
      <c r="D945" s="252" t="s">
        <v>212</v>
      </c>
      <c r="E945" s="252" t="s">
        <v>257</v>
      </c>
      <c r="F945" s="252"/>
      <c r="G945" s="257"/>
      <c r="H945" s="257"/>
      <c r="I945" s="257" t="e">
        <f>#REF!+G945</f>
        <v>#REF!</v>
      </c>
      <c r="J945" s="257" t="e">
        <f t="shared" si="1593"/>
        <v>#REF!</v>
      </c>
      <c r="K945" s="257" t="e">
        <f t="shared" si="1602"/>
        <v>#REF!</v>
      </c>
      <c r="L945" s="257" t="e">
        <f t="shared" si="1602"/>
        <v>#REF!</v>
      </c>
      <c r="M945" s="257" t="e">
        <f t="shared" si="1602"/>
        <v>#REF!</v>
      </c>
      <c r="N945" s="257" t="e">
        <f t="shared" si="1602"/>
        <v>#REF!</v>
      </c>
      <c r="O945" s="257" t="e">
        <f t="shared" si="1602"/>
        <v>#REF!</v>
      </c>
      <c r="P945" s="257" t="e">
        <f t="shared" si="1602"/>
        <v>#REF!</v>
      </c>
      <c r="Q945" s="257" t="e">
        <f t="shared" si="1592"/>
        <v>#REF!</v>
      </c>
      <c r="R945" s="257" t="e">
        <f t="shared" si="1591"/>
        <v>#REF!</v>
      </c>
      <c r="S945" s="257" t="e">
        <f t="shared" si="1594"/>
        <v>#REF!</v>
      </c>
      <c r="T945" s="257" t="e">
        <f t="shared" si="1595"/>
        <v>#REF!</v>
      </c>
      <c r="U945" s="257" t="e">
        <f t="shared" si="1596"/>
        <v>#REF!</v>
      </c>
      <c r="V945" s="257" t="e">
        <f t="shared" si="1597"/>
        <v>#REF!</v>
      </c>
      <c r="W945" s="257" t="e">
        <f t="shared" si="1598"/>
        <v>#REF!</v>
      </c>
      <c r="X945" s="257" t="e">
        <f t="shared" si="1599"/>
        <v>#REF!</v>
      </c>
      <c r="Y945" s="257" t="e">
        <f t="shared" si="1600"/>
        <v>#REF!</v>
      </c>
      <c r="Z945" s="257" t="e">
        <f t="shared" si="1601"/>
        <v>#REF!</v>
      </c>
    </row>
    <row r="946" spans="1:26" ht="25.5" hidden="1" customHeight="1" x14ac:dyDescent="0.2">
      <c r="A946" s="259" t="s">
        <v>258</v>
      </c>
      <c r="B946" s="271">
        <v>811</v>
      </c>
      <c r="C946" s="252" t="s">
        <v>194</v>
      </c>
      <c r="D946" s="252" t="s">
        <v>212</v>
      </c>
      <c r="E946" s="252" t="s">
        <v>259</v>
      </c>
      <c r="F946" s="252"/>
      <c r="G946" s="257"/>
      <c r="H946" s="257"/>
      <c r="I946" s="257" t="e">
        <f>#REF!+G946</f>
        <v>#REF!</v>
      </c>
      <c r="J946" s="257" t="e">
        <f t="shared" si="1593"/>
        <v>#REF!</v>
      </c>
      <c r="K946" s="257" t="e">
        <f t="shared" si="1602"/>
        <v>#REF!</v>
      </c>
      <c r="L946" s="257" t="e">
        <f t="shared" si="1602"/>
        <v>#REF!</v>
      </c>
      <c r="M946" s="257" t="e">
        <f t="shared" si="1602"/>
        <v>#REF!</v>
      </c>
      <c r="N946" s="257" t="e">
        <f t="shared" si="1602"/>
        <v>#REF!</v>
      </c>
      <c r="O946" s="257" t="e">
        <f t="shared" si="1602"/>
        <v>#REF!</v>
      </c>
      <c r="P946" s="257" t="e">
        <f t="shared" si="1602"/>
        <v>#REF!</v>
      </c>
      <c r="Q946" s="257" t="e">
        <f t="shared" si="1592"/>
        <v>#REF!</v>
      </c>
      <c r="R946" s="257" t="e">
        <f t="shared" si="1591"/>
        <v>#REF!</v>
      </c>
      <c r="S946" s="257" t="e">
        <f t="shared" si="1594"/>
        <v>#REF!</v>
      </c>
      <c r="T946" s="257" t="e">
        <f t="shared" si="1595"/>
        <v>#REF!</v>
      </c>
      <c r="U946" s="257" t="e">
        <f t="shared" si="1596"/>
        <v>#REF!</v>
      </c>
      <c r="V946" s="257" t="e">
        <f t="shared" si="1597"/>
        <v>#REF!</v>
      </c>
      <c r="W946" s="257" t="e">
        <f t="shared" si="1598"/>
        <v>#REF!</v>
      </c>
      <c r="X946" s="257" t="e">
        <f t="shared" si="1599"/>
        <v>#REF!</v>
      </c>
      <c r="Y946" s="257" t="e">
        <f t="shared" si="1600"/>
        <v>#REF!</v>
      </c>
      <c r="Z946" s="257" t="e">
        <f t="shared" si="1601"/>
        <v>#REF!</v>
      </c>
    </row>
    <row r="947" spans="1:26" ht="25.5" hidden="1" customHeight="1" x14ac:dyDescent="0.2">
      <c r="A947" s="259" t="s">
        <v>239</v>
      </c>
      <c r="B947" s="271">
        <v>811</v>
      </c>
      <c r="C947" s="252" t="s">
        <v>194</v>
      </c>
      <c r="D947" s="252" t="s">
        <v>212</v>
      </c>
      <c r="E947" s="252" t="s">
        <v>259</v>
      </c>
      <c r="F947" s="252" t="s">
        <v>240</v>
      </c>
      <c r="G947" s="257"/>
      <c r="H947" s="257"/>
      <c r="I947" s="257" t="e">
        <f>#REF!+G947</f>
        <v>#REF!</v>
      </c>
      <c r="J947" s="257" t="e">
        <f t="shared" si="1593"/>
        <v>#REF!</v>
      </c>
      <c r="K947" s="257" t="e">
        <f t="shared" si="1602"/>
        <v>#REF!</v>
      </c>
      <c r="L947" s="257" t="e">
        <f t="shared" si="1602"/>
        <v>#REF!</v>
      </c>
      <c r="M947" s="257" t="e">
        <f t="shared" si="1602"/>
        <v>#REF!</v>
      </c>
      <c r="N947" s="257" t="e">
        <f t="shared" si="1602"/>
        <v>#REF!</v>
      </c>
      <c r="O947" s="257" t="e">
        <f t="shared" si="1602"/>
        <v>#REF!</v>
      </c>
      <c r="P947" s="257" t="e">
        <f t="shared" si="1602"/>
        <v>#REF!</v>
      </c>
      <c r="Q947" s="257" t="e">
        <f t="shared" si="1592"/>
        <v>#REF!</v>
      </c>
      <c r="R947" s="257" t="e">
        <f t="shared" si="1591"/>
        <v>#REF!</v>
      </c>
      <c r="S947" s="257" t="e">
        <f t="shared" si="1594"/>
        <v>#REF!</v>
      </c>
      <c r="T947" s="257" t="e">
        <f t="shared" si="1595"/>
        <v>#REF!</v>
      </c>
      <c r="U947" s="257" t="e">
        <f t="shared" si="1596"/>
        <v>#REF!</v>
      </c>
      <c r="V947" s="257" t="e">
        <f t="shared" si="1597"/>
        <v>#REF!</v>
      </c>
      <c r="W947" s="257" t="e">
        <f t="shared" si="1598"/>
        <v>#REF!</v>
      </c>
      <c r="X947" s="257" t="e">
        <f t="shared" si="1599"/>
        <v>#REF!</v>
      </c>
      <c r="Y947" s="257" t="e">
        <f t="shared" si="1600"/>
        <v>#REF!</v>
      </c>
      <c r="Z947" s="257" t="e">
        <f t="shared" si="1601"/>
        <v>#REF!</v>
      </c>
    </row>
    <row r="948" spans="1:26" ht="38.25" hidden="1" customHeight="1" x14ac:dyDescent="0.2">
      <c r="A948" s="259" t="s">
        <v>42</v>
      </c>
      <c r="B948" s="271">
        <v>811</v>
      </c>
      <c r="C948" s="252" t="s">
        <v>194</v>
      </c>
      <c r="D948" s="252" t="s">
        <v>212</v>
      </c>
      <c r="E948" s="252" t="s">
        <v>43</v>
      </c>
      <c r="F948" s="252"/>
      <c r="G948" s="257"/>
      <c r="H948" s="257"/>
      <c r="I948" s="257" t="e">
        <f>#REF!+G948</f>
        <v>#REF!</v>
      </c>
      <c r="J948" s="257" t="e">
        <f t="shared" si="1593"/>
        <v>#REF!</v>
      </c>
      <c r="K948" s="257" t="e">
        <f t="shared" si="1602"/>
        <v>#REF!</v>
      </c>
      <c r="L948" s="257" t="e">
        <f t="shared" si="1602"/>
        <v>#REF!</v>
      </c>
      <c r="M948" s="257" t="e">
        <f t="shared" si="1602"/>
        <v>#REF!</v>
      </c>
      <c r="N948" s="257" t="e">
        <f t="shared" si="1602"/>
        <v>#REF!</v>
      </c>
      <c r="O948" s="257" t="e">
        <f t="shared" si="1602"/>
        <v>#REF!</v>
      </c>
      <c r="P948" s="257" t="e">
        <f t="shared" si="1602"/>
        <v>#REF!</v>
      </c>
      <c r="Q948" s="257" t="e">
        <f t="shared" si="1592"/>
        <v>#REF!</v>
      </c>
      <c r="R948" s="257" t="e">
        <f t="shared" si="1591"/>
        <v>#REF!</v>
      </c>
      <c r="S948" s="257" t="e">
        <f t="shared" si="1594"/>
        <v>#REF!</v>
      </c>
      <c r="T948" s="257" t="e">
        <f t="shared" si="1595"/>
        <v>#REF!</v>
      </c>
      <c r="U948" s="257" t="e">
        <f t="shared" si="1596"/>
        <v>#REF!</v>
      </c>
      <c r="V948" s="257" t="e">
        <f t="shared" si="1597"/>
        <v>#REF!</v>
      </c>
      <c r="W948" s="257" t="e">
        <f t="shared" si="1598"/>
        <v>#REF!</v>
      </c>
      <c r="X948" s="257" t="e">
        <f t="shared" si="1599"/>
        <v>#REF!</v>
      </c>
      <c r="Y948" s="257" t="e">
        <f t="shared" si="1600"/>
        <v>#REF!</v>
      </c>
      <c r="Z948" s="257" t="e">
        <f t="shared" si="1601"/>
        <v>#REF!</v>
      </c>
    </row>
    <row r="949" spans="1:26" ht="25.5" hidden="1" customHeight="1" x14ac:dyDescent="0.2">
      <c r="A949" s="259" t="s">
        <v>239</v>
      </c>
      <c r="B949" s="271">
        <v>811</v>
      </c>
      <c r="C949" s="252" t="s">
        <v>194</v>
      </c>
      <c r="D949" s="252" t="s">
        <v>212</v>
      </c>
      <c r="E949" s="252" t="s">
        <v>43</v>
      </c>
      <c r="F949" s="252" t="s">
        <v>240</v>
      </c>
      <c r="G949" s="257"/>
      <c r="H949" s="257"/>
      <c r="I949" s="257" t="e">
        <f>#REF!+G949</f>
        <v>#REF!</v>
      </c>
      <c r="J949" s="257" t="e">
        <f t="shared" si="1593"/>
        <v>#REF!</v>
      </c>
      <c r="K949" s="257" t="e">
        <f t="shared" si="1602"/>
        <v>#REF!</v>
      </c>
      <c r="L949" s="257" t="e">
        <f t="shared" si="1602"/>
        <v>#REF!</v>
      </c>
      <c r="M949" s="257" t="e">
        <f t="shared" si="1602"/>
        <v>#REF!</v>
      </c>
      <c r="N949" s="257" t="e">
        <f t="shared" si="1602"/>
        <v>#REF!</v>
      </c>
      <c r="O949" s="257" t="e">
        <f t="shared" si="1602"/>
        <v>#REF!</v>
      </c>
      <c r="P949" s="257" t="e">
        <f t="shared" si="1602"/>
        <v>#REF!</v>
      </c>
      <c r="Q949" s="257" t="e">
        <f t="shared" si="1592"/>
        <v>#REF!</v>
      </c>
      <c r="R949" s="257" t="e">
        <f t="shared" si="1591"/>
        <v>#REF!</v>
      </c>
      <c r="S949" s="257" t="e">
        <f t="shared" si="1594"/>
        <v>#REF!</v>
      </c>
      <c r="T949" s="257" t="e">
        <f t="shared" si="1595"/>
        <v>#REF!</v>
      </c>
      <c r="U949" s="257" t="e">
        <f t="shared" si="1596"/>
        <v>#REF!</v>
      </c>
      <c r="V949" s="257" t="e">
        <f t="shared" si="1597"/>
        <v>#REF!</v>
      </c>
      <c r="W949" s="257" t="e">
        <f t="shared" si="1598"/>
        <v>#REF!</v>
      </c>
      <c r="X949" s="257" t="e">
        <f t="shared" si="1599"/>
        <v>#REF!</v>
      </c>
      <c r="Y949" s="257" t="e">
        <f t="shared" si="1600"/>
        <v>#REF!</v>
      </c>
      <c r="Z949" s="257" t="e">
        <f t="shared" si="1601"/>
        <v>#REF!</v>
      </c>
    </row>
    <row r="950" spans="1:26" ht="12.75" hidden="1" customHeight="1" x14ac:dyDescent="0.2">
      <c r="A950" s="462" t="s">
        <v>213</v>
      </c>
      <c r="B950" s="249">
        <v>811</v>
      </c>
      <c r="C950" s="250" t="s">
        <v>194</v>
      </c>
      <c r="D950" s="250">
        <v>10</v>
      </c>
      <c r="E950" s="250"/>
      <c r="F950" s="250"/>
      <c r="G950" s="257"/>
      <c r="H950" s="257"/>
      <c r="I950" s="257" t="e">
        <f>#REF!+G950</f>
        <v>#REF!</v>
      </c>
      <c r="J950" s="257" t="e">
        <f t="shared" si="1593"/>
        <v>#REF!</v>
      </c>
      <c r="K950" s="257" t="e">
        <f t="shared" si="1602"/>
        <v>#REF!</v>
      </c>
      <c r="L950" s="257" t="e">
        <f t="shared" si="1602"/>
        <v>#REF!</v>
      </c>
      <c r="M950" s="257" t="e">
        <f t="shared" si="1602"/>
        <v>#REF!</v>
      </c>
      <c r="N950" s="257" t="e">
        <f t="shared" si="1602"/>
        <v>#REF!</v>
      </c>
      <c r="O950" s="257" t="e">
        <f t="shared" si="1602"/>
        <v>#REF!</v>
      </c>
      <c r="P950" s="257" t="e">
        <f t="shared" si="1602"/>
        <v>#REF!</v>
      </c>
      <c r="Q950" s="257" t="e">
        <f t="shared" si="1592"/>
        <v>#REF!</v>
      </c>
      <c r="R950" s="257" t="e">
        <f t="shared" si="1591"/>
        <v>#REF!</v>
      </c>
      <c r="S950" s="257" t="e">
        <f t="shared" si="1594"/>
        <v>#REF!</v>
      </c>
      <c r="T950" s="257" t="e">
        <f t="shared" si="1595"/>
        <v>#REF!</v>
      </c>
      <c r="U950" s="257" t="e">
        <f t="shared" si="1596"/>
        <v>#REF!</v>
      </c>
      <c r="V950" s="257" t="e">
        <f t="shared" si="1597"/>
        <v>#REF!</v>
      </c>
      <c r="W950" s="257" t="e">
        <f t="shared" si="1598"/>
        <v>#REF!</v>
      </c>
      <c r="X950" s="257" t="e">
        <f t="shared" si="1599"/>
        <v>#REF!</v>
      </c>
      <c r="Y950" s="257" t="e">
        <f t="shared" si="1600"/>
        <v>#REF!</v>
      </c>
      <c r="Z950" s="257" t="e">
        <f t="shared" si="1601"/>
        <v>#REF!</v>
      </c>
    </row>
    <row r="951" spans="1:26" ht="12.75" hidden="1" customHeight="1" x14ac:dyDescent="0.2">
      <c r="A951" s="259" t="s">
        <v>237</v>
      </c>
      <c r="B951" s="271">
        <v>811</v>
      </c>
      <c r="C951" s="252" t="s">
        <v>194</v>
      </c>
      <c r="D951" s="252">
        <v>10</v>
      </c>
      <c r="E951" s="252" t="s">
        <v>238</v>
      </c>
      <c r="F951" s="252"/>
      <c r="G951" s="257"/>
      <c r="H951" s="257"/>
      <c r="I951" s="257" t="e">
        <f>#REF!+G951</f>
        <v>#REF!</v>
      </c>
      <c r="J951" s="257" t="e">
        <f t="shared" si="1593"/>
        <v>#REF!</v>
      </c>
      <c r="K951" s="257" t="e">
        <f t="shared" si="1602"/>
        <v>#REF!</v>
      </c>
      <c r="L951" s="257" t="e">
        <f t="shared" si="1602"/>
        <v>#REF!</v>
      </c>
      <c r="M951" s="257" t="e">
        <f t="shared" si="1602"/>
        <v>#REF!</v>
      </c>
      <c r="N951" s="257" t="e">
        <f t="shared" si="1602"/>
        <v>#REF!</v>
      </c>
      <c r="O951" s="257" t="e">
        <f t="shared" si="1602"/>
        <v>#REF!</v>
      </c>
      <c r="P951" s="257" t="e">
        <f t="shared" si="1602"/>
        <v>#REF!</v>
      </c>
      <c r="Q951" s="257" t="e">
        <f t="shared" si="1592"/>
        <v>#REF!</v>
      </c>
      <c r="R951" s="257" t="e">
        <f t="shared" si="1591"/>
        <v>#REF!</v>
      </c>
      <c r="S951" s="257" t="e">
        <f t="shared" si="1594"/>
        <v>#REF!</v>
      </c>
      <c r="T951" s="257" t="e">
        <f t="shared" si="1595"/>
        <v>#REF!</v>
      </c>
      <c r="U951" s="257" t="e">
        <f t="shared" si="1596"/>
        <v>#REF!</v>
      </c>
      <c r="V951" s="257" t="e">
        <f t="shared" si="1597"/>
        <v>#REF!</v>
      </c>
      <c r="W951" s="257" t="e">
        <f t="shared" si="1598"/>
        <v>#REF!</v>
      </c>
      <c r="X951" s="257" t="e">
        <f t="shared" si="1599"/>
        <v>#REF!</v>
      </c>
      <c r="Y951" s="257" t="e">
        <f t="shared" si="1600"/>
        <v>#REF!</v>
      </c>
      <c r="Z951" s="257" t="e">
        <f t="shared" si="1601"/>
        <v>#REF!</v>
      </c>
    </row>
    <row r="952" spans="1:26" ht="25.5" hidden="1" customHeight="1" x14ac:dyDescent="0.2">
      <c r="A952" s="259" t="s">
        <v>44</v>
      </c>
      <c r="B952" s="271">
        <v>811</v>
      </c>
      <c r="C952" s="252" t="s">
        <v>194</v>
      </c>
      <c r="D952" s="252">
        <v>10</v>
      </c>
      <c r="E952" s="252" t="s">
        <v>241</v>
      </c>
      <c r="F952" s="252"/>
      <c r="G952" s="257"/>
      <c r="H952" s="257"/>
      <c r="I952" s="257" t="e">
        <f>#REF!+G952</f>
        <v>#REF!</v>
      </c>
      <c r="J952" s="257" t="e">
        <f t="shared" si="1593"/>
        <v>#REF!</v>
      </c>
      <c r="K952" s="257" t="e">
        <f t="shared" si="1602"/>
        <v>#REF!</v>
      </c>
      <c r="L952" s="257" t="e">
        <f t="shared" si="1602"/>
        <v>#REF!</v>
      </c>
      <c r="M952" s="257" t="e">
        <f t="shared" si="1602"/>
        <v>#REF!</v>
      </c>
      <c r="N952" s="257" t="e">
        <f t="shared" si="1602"/>
        <v>#REF!</v>
      </c>
      <c r="O952" s="257" t="e">
        <f t="shared" si="1602"/>
        <v>#REF!</v>
      </c>
      <c r="P952" s="257" t="e">
        <f t="shared" si="1602"/>
        <v>#REF!</v>
      </c>
      <c r="Q952" s="257" t="e">
        <f t="shared" si="1592"/>
        <v>#REF!</v>
      </c>
      <c r="R952" s="257" t="e">
        <f t="shared" si="1591"/>
        <v>#REF!</v>
      </c>
      <c r="S952" s="257" t="e">
        <f t="shared" si="1594"/>
        <v>#REF!</v>
      </c>
      <c r="T952" s="257" t="e">
        <f t="shared" si="1595"/>
        <v>#REF!</v>
      </c>
      <c r="U952" s="257" t="e">
        <f t="shared" si="1596"/>
        <v>#REF!</v>
      </c>
      <c r="V952" s="257" t="e">
        <f t="shared" si="1597"/>
        <v>#REF!</v>
      </c>
      <c r="W952" s="257" t="e">
        <f t="shared" si="1598"/>
        <v>#REF!</v>
      </c>
      <c r="X952" s="257" t="e">
        <f t="shared" si="1599"/>
        <v>#REF!</v>
      </c>
      <c r="Y952" s="257" t="e">
        <f t="shared" si="1600"/>
        <v>#REF!</v>
      </c>
      <c r="Z952" s="257" t="e">
        <f t="shared" si="1601"/>
        <v>#REF!</v>
      </c>
    </row>
    <row r="953" spans="1:26" ht="25.5" hidden="1" customHeight="1" x14ac:dyDescent="0.2">
      <c r="A953" s="259" t="s">
        <v>239</v>
      </c>
      <c r="B953" s="271">
        <v>811</v>
      </c>
      <c r="C953" s="252" t="s">
        <v>194</v>
      </c>
      <c r="D953" s="252">
        <v>10</v>
      </c>
      <c r="E953" s="252" t="s">
        <v>241</v>
      </c>
      <c r="F953" s="252" t="s">
        <v>240</v>
      </c>
      <c r="G953" s="257"/>
      <c r="H953" s="257"/>
      <c r="I953" s="257" t="e">
        <f>#REF!+G953</f>
        <v>#REF!</v>
      </c>
      <c r="J953" s="257" t="e">
        <f t="shared" si="1593"/>
        <v>#REF!</v>
      </c>
      <c r="K953" s="257" t="e">
        <f t="shared" si="1602"/>
        <v>#REF!</v>
      </c>
      <c r="L953" s="257" t="e">
        <f t="shared" si="1602"/>
        <v>#REF!</v>
      </c>
      <c r="M953" s="257" t="e">
        <f t="shared" si="1602"/>
        <v>#REF!</v>
      </c>
      <c r="N953" s="257" t="e">
        <f t="shared" si="1602"/>
        <v>#REF!</v>
      </c>
      <c r="O953" s="257" t="e">
        <f t="shared" si="1602"/>
        <v>#REF!</v>
      </c>
      <c r="P953" s="257" t="e">
        <f t="shared" si="1602"/>
        <v>#REF!</v>
      </c>
      <c r="Q953" s="257" t="e">
        <f t="shared" si="1592"/>
        <v>#REF!</v>
      </c>
      <c r="R953" s="257" t="e">
        <f t="shared" si="1591"/>
        <v>#REF!</v>
      </c>
      <c r="S953" s="257" t="e">
        <f t="shared" si="1594"/>
        <v>#REF!</v>
      </c>
      <c r="T953" s="257" t="e">
        <f t="shared" si="1595"/>
        <v>#REF!</v>
      </c>
      <c r="U953" s="257" t="e">
        <f t="shared" si="1596"/>
        <v>#REF!</v>
      </c>
      <c r="V953" s="257" t="e">
        <f t="shared" si="1597"/>
        <v>#REF!</v>
      </c>
      <c r="W953" s="257" t="e">
        <f t="shared" si="1598"/>
        <v>#REF!</v>
      </c>
      <c r="X953" s="257" t="e">
        <f t="shared" si="1599"/>
        <v>#REF!</v>
      </c>
      <c r="Y953" s="257" t="e">
        <f t="shared" si="1600"/>
        <v>#REF!</v>
      </c>
      <c r="Z953" s="257" t="e">
        <f t="shared" si="1601"/>
        <v>#REF!</v>
      </c>
    </row>
    <row r="954" spans="1:26" ht="12.75" hidden="1" customHeight="1" x14ac:dyDescent="0.2">
      <c r="A954" s="259" t="s">
        <v>244</v>
      </c>
      <c r="B954" s="271">
        <v>811</v>
      </c>
      <c r="C954" s="252" t="s">
        <v>194</v>
      </c>
      <c r="D954" s="252">
        <v>10</v>
      </c>
      <c r="E954" s="252" t="s">
        <v>245</v>
      </c>
      <c r="F954" s="252"/>
      <c r="G954" s="257"/>
      <c r="H954" s="257"/>
      <c r="I954" s="257" t="e">
        <f>#REF!+G954</f>
        <v>#REF!</v>
      </c>
      <c r="J954" s="257" t="e">
        <f t="shared" si="1593"/>
        <v>#REF!</v>
      </c>
      <c r="K954" s="257" t="e">
        <f t="shared" si="1602"/>
        <v>#REF!</v>
      </c>
      <c r="L954" s="257" t="e">
        <f t="shared" si="1602"/>
        <v>#REF!</v>
      </c>
      <c r="M954" s="257" t="e">
        <f t="shared" si="1602"/>
        <v>#REF!</v>
      </c>
      <c r="N954" s="257" t="e">
        <f t="shared" si="1602"/>
        <v>#REF!</v>
      </c>
      <c r="O954" s="257" t="e">
        <f t="shared" si="1602"/>
        <v>#REF!</v>
      </c>
      <c r="P954" s="257" t="e">
        <f t="shared" si="1602"/>
        <v>#REF!</v>
      </c>
      <c r="Q954" s="257" t="e">
        <f t="shared" si="1592"/>
        <v>#REF!</v>
      </c>
      <c r="R954" s="257" t="e">
        <f t="shared" si="1591"/>
        <v>#REF!</v>
      </c>
      <c r="S954" s="257" t="e">
        <f t="shared" si="1594"/>
        <v>#REF!</v>
      </c>
      <c r="T954" s="257" t="e">
        <f t="shared" si="1595"/>
        <v>#REF!</v>
      </c>
      <c r="U954" s="257" t="e">
        <f t="shared" si="1596"/>
        <v>#REF!</v>
      </c>
      <c r="V954" s="257" t="e">
        <f t="shared" si="1597"/>
        <v>#REF!</v>
      </c>
      <c r="W954" s="257" t="e">
        <f t="shared" si="1598"/>
        <v>#REF!</v>
      </c>
      <c r="X954" s="257" t="e">
        <f t="shared" si="1599"/>
        <v>#REF!</v>
      </c>
      <c r="Y954" s="257" t="e">
        <f t="shared" si="1600"/>
        <v>#REF!</v>
      </c>
      <c r="Z954" s="257" t="e">
        <f t="shared" si="1601"/>
        <v>#REF!</v>
      </c>
    </row>
    <row r="955" spans="1:26" ht="25.5" hidden="1" customHeight="1" x14ac:dyDescent="0.2">
      <c r="A955" s="259" t="s">
        <v>246</v>
      </c>
      <c r="B955" s="271">
        <v>811</v>
      </c>
      <c r="C955" s="252" t="s">
        <v>194</v>
      </c>
      <c r="D955" s="252">
        <v>10</v>
      </c>
      <c r="E955" s="252" t="s">
        <v>247</v>
      </c>
      <c r="F955" s="252"/>
      <c r="G955" s="257"/>
      <c r="H955" s="257"/>
      <c r="I955" s="257" t="e">
        <f>#REF!+G955</f>
        <v>#REF!</v>
      </c>
      <c r="J955" s="257" t="e">
        <f t="shared" si="1593"/>
        <v>#REF!</v>
      </c>
      <c r="K955" s="257" t="e">
        <f t="shared" si="1602"/>
        <v>#REF!</v>
      </c>
      <c r="L955" s="257" t="e">
        <f t="shared" si="1602"/>
        <v>#REF!</v>
      </c>
      <c r="M955" s="257" t="e">
        <f t="shared" si="1602"/>
        <v>#REF!</v>
      </c>
      <c r="N955" s="257" t="e">
        <f t="shared" si="1602"/>
        <v>#REF!</v>
      </c>
      <c r="O955" s="257" t="e">
        <f t="shared" si="1602"/>
        <v>#REF!</v>
      </c>
      <c r="P955" s="257" t="e">
        <f t="shared" si="1602"/>
        <v>#REF!</v>
      </c>
      <c r="Q955" s="257" t="e">
        <f t="shared" si="1592"/>
        <v>#REF!</v>
      </c>
      <c r="R955" s="257" t="e">
        <f t="shared" si="1591"/>
        <v>#REF!</v>
      </c>
      <c r="S955" s="257" t="e">
        <f t="shared" si="1594"/>
        <v>#REF!</v>
      </c>
      <c r="T955" s="257" t="e">
        <f t="shared" si="1595"/>
        <v>#REF!</v>
      </c>
      <c r="U955" s="257" t="e">
        <f t="shared" si="1596"/>
        <v>#REF!</v>
      </c>
      <c r="V955" s="257" t="e">
        <f t="shared" si="1597"/>
        <v>#REF!</v>
      </c>
      <c r="W955" s="257" t="e">
        <f t="shared" si="1598"/>
        <v>#REF!</v>
      </c>
      <c r="X955" s="257" t="e">
        <f t="shared" si="1599"/>
        <v>#REF!</v>
      </c>
      <c r="Y955" s="257" t="e">
        <f t="shared" si="1600"/>
        <v>#REF!</v>
      </c>
      <c r="Z955" s="257" t="e">
        <f t="shared" si="1601"/>
        <v>#REF!</v>
      </c>
    </row>
    <row r="956" spans="1:26" ht="25.5" hidden="1" customHeight="1" x14ac:dyDescent="0.2">
      <c r="A956" s="259" t="s">
        <v>239</v>
      </c>
      <c r="B956" s="271">
        <v>811</v>
      </c>
      <c r="C956" s="252" t="s">
        <v>194</v>
      </c>
      <c r="D956" s="252">
        <v>10</v>
      </c>
      <c r="E956" s="252" t="s">
        <v>247</v>
      </c>
      <c r="F956" s="252" t="s">
        <v>240</v>
      </c>
      <c r="G956" s="257"/>
      <c r="H956" s="257"/>
      <c r="I956" s="257" t="e">
        <f>#REF!+G956</f>
        <v>#REF!</v>
      </c>
      <c r="J956" s="257" t="e">
        <f t="shared" si="1593"/>
        <v>#REF!</v>
      </c>
      <c r="K956" s="257" t="e">
        <f t="shared" si="1602"/>
        <v>#REF!</v>
      </c>
      <c r="L956" s="257" t="e">
        <f t="shared" si="1602"/>
        <v>#REF!</v>
      </c>
      <c r="M956" s="257" t="e">
        <f t="shared" si="1602"/>
        <v>#REF!</v>
      </c>
      <c r="N956" s="257" t="e">
        <f t="shared" si="1602"/>
        <v>#REF!</v>
      </c>
      <c r="O956" s="257" t="e">
        <f t="shared" si="1602"/>
        <v>#REF!</v>
      </c>
      <c r="P956" s="257" t="e">
        <f t="shared" si="1602"/>
        <v>#REF!</v>
      </c>
      <c r="Q956" s="257" t="e">
        <f t="shared" si="1592"/>
        <v>#REF!</v>
      </c>
      <c r="R956" s="257" t="e">
        <f t="shared" si="1591"/>
        <v>#REF!</v>
      </c>
      <c r="S956" s="257" t="e">
        <f t="shared" si="1594"/>
        <v>#REF!</v>
      </c>
      <c r="T956" s="257" t="e">
        <f t="shared" si="1595"/>
        <v>#REF!</v>
      </c>
      <c r="U956" s="257" t="e">
        <f t="shared" si="1596"/>
        <v>#REF!</v>
      </c>
      <c r="V956" s="257" t="e">
        <f t="shared" si="1597"/>
        <v>#REF!</v>
      </c>
      <c r="W956" s="257" t="e">
        <f t="shared" si="1598"/>
        <v>#REF!</v>
      </c>
      <c r="X956" s="257" t="e">
        <f t="shared" si="1599"/>
        <v>#REF!</v>
      </c>
      <c r="Y956" s="257" t="e">
        <f t="shared" si="1600"/>
        <v>#REF!</v>
      </c>
      <c r="Z956" s="257" t="e">
        <f t="shared" si="1601"/>
        <v>#REF!</v>
      </c>
    </row>
    <row r="957" spans="1:26" ht="25.5" hidden="1" customHeight="1" x14ac:dyDescent="0.2">
      <c r="A957" s="259" t="s">
        <v>45</v>
      </c>
      <c r="B957" s="271">
        <v>811</v>
      </c>
      <c r="C957" s="252" t="s">
        <v>194</v>
      </c>
      <c r="D957" s="252">
        <v>10</v>
      </c>
      <c r="E957" s="252" t="s">
        <v>46</v>
      </c>
      <c r="F957" s="252"/>
      <c r="G957" s="257"/>
      <c r="H957" s="257"/>
      <c r="I957" s="257" t="e">
        <f>#REF!+G957</f>
        <v>#REF!</v>
      </c>
      <c r="J957" s="257" t="e">
        <f t="shared" si="1593"/>
        <v>#REF!</v>
      </c>
      <c r="K957" s="257" t="e">
        <f t="shared" si="1602"/>
        <v>#REF!</v>
      </c>
      <c r="L957" s="257" t="e">
        <f t="shared" si="1602"/>
        <v>#REF!</v>
      </c>
      <c r="M957" s="257" t="e">
        <f t="shared" si="1602"/>
        <v>#REF!</v>
      </c>
      <c r="N957" s="257" t="e">
        <f t="shared" si="1602"/>
        <v>#REF!</v>
      </c>
      <c r="O957" s="257" t="e">
        <f t="shared" si="1602"/>
        <v>#REF!</v>
      </c>
      <c r="P957" s="257" t="e">
        <f t="shared" si="1602"/>
        <v>#REF!</v>
      </c>
      <c r="Q957" s="257" t="e">
        <f t="shared" si="1592"/>
        <v>#REF!</v>
      </c>
      <c r="R957" s="257" t="e">
        <f t="shared" si="1591"/>
        <v>#REF!</v>
      </c>
      <c r="S957" s="257" t="e">
        <f t="shared" si="1594"/>
        <v>#REF!</v>
      </c>
      <c r="T957" s="257" t="e">
        <f t="shared" si="1595"/>
        <v>#REF!</v>
      </c>
      <c r="U957" s="257" t="e">
        <f t="shared" si="1596"/>
        <v>#REF!</v>
      </c>
      <c r="V957" s="257" t="e">
        <f t="shared" si="1597"/>
        <v>#REF!</v>
      </c>
      <c r="W957" s="257" t="e">
        <f t="shared" si="1598"/>
        <v>#REF!</v>
      </c>
      <c r="X957" s="257" t="e">
        <f t="shared" si="1599"/>
        <v>#REF!</v>
      </c>
      <c r="Y957" s="257" t="e">
        <f t="shared" si="1600"/>
        <v>#REF!</v>
      </c>
      <c r="Z957" s="257" t="e">
        <f t="shared" si="1601"/>
        <v>#REF!</v>
      </c>
    </row>
    <row r="958" spans="1:26" ht="12.75" hidden="1" customHeight="1" x14ac:dyDescent="0.2">
      <c r="A958" s="259" t="s">
        <v>299</v>
      </c>
      <c r="B958" s="271">
        <v>811</v>
      </c>
      <c r="C958" s="252" t="s">
        <v>194</v>
      </c>
      <c r="D958" s="252">
        <v>10</v>
      </c>
      <c r="E958" s="252" t="s">
        <v>47</v>
      </c>
      <c r="F958" s="252"/>
      <c r="G958" s="257"/>
      <c r="H958" s="257"/>
      <c r="I958" s="257" t="e">
        <f>#REF!+G958</f>
        <v>#REF!</v>
      </c>
      <c r="J958" s="257" t="e">
        <f t="shared" si="1593"/>
        <v>#REF!</v>
      </c>
      <c r="K958" s="257" t="e">
        <f t="shared" si="1602"/>
        <v>#REF!</v>
      </c>
      <c r="L958" s="257" t="e">
        <f t="shared" si="1602"/>
        <v>#REF!</v>
      </c>
      <c r="M958" s="257" t="e">
        <f t="shared" si="1602"/>
        <v>#REF!</v>
      </c>
      <c r="N958" s="257" t="e">
        <f t="shared" si="1602"/>
        <v>#REF!</v>
      </c>
      <c r="O958" s="257" t="e">
        <f t="shared" si="1602"/>
        <v>#REF!</v>
      </c>
      <c r="P958" s="257" t="e">
        <f t="shared" si="1602"/>
        <v>#REF!</v>
      </c>
      <c r="Q958" s="257" t="e">
        <f t="shared" si="1592"/>
        <v>#REF!</v>
      </c>
      <c r="R958" s="257" t="e">
        <f t="shared" si="1591"/>
        <v>#REF!</v>
      </c>
      <c r="S958" s="257" t="e">
        <f t="shared" si="1594"/>
        <v>#REF!</v>
      </c>
      <c r="T958" s="257" t="e">
        <f t="shared" si="1595"/>
        <v>#REF!</v>
      </c>
      <c r="U958" s="257" t="e">
        <f t="shared" si="1596"/>
        <v>#REF!</v>
      </c>
      <c r="V958" s="257" t="e">
        <f t="shared" si="1597"/>
        <v>#REF!</v>
      </c>
      <c r="W958" s="257" t="e">
        <f t="shared" si="1598"/>
        <v>#REF!</v>
      </c>
      <c r="X958" s="257" t="e">
        <f t="shared" si="1599"/>
        <v>#REF!</v>
      </c>
      <c r="Y958" s="257" t="e">
        <f t="shared" si="1600"/>
        <v>#REF!</v>
      </c>
      <c r="Z958" s="257" t="e">
        <f t="shared" si="1601"/>
        <v>#REF!</v>
      </c>
    </row>
    <row r="959" spans="1:26" ht="12.75" hidden="1" customHeight="1" x14ac:dyDescent="0.2">
      <c r="A959" s="259" t="s">
        <v>300</v>
      </c>
      <c r="B959" s="271">
        <v>811</v>
      </c>
      <c r="C959" s="252" t="s">
        <v>194</v>
      </c>
      <c r="D959" s="252">
        <v>10</v>
      </c>
      <c r="E959" s="252" t="s">
        <v>47</v>
      </c>
      <c r="F959" s="252" t="s">
        <v>301</v>
      </c>
      <c r="G959" s="257"/>
      <c r="H959" s="257"/>
      <c r="I959" s="257" t="e">
        <f>#REF!+G959</f>
        <v>#REF!</v>
      </c>
      <c r="J959" s="257" t="e">
        <f t="shared" si="1593"/>
        <v>#REF!</v>
      </c>
      <c r="K959" s="257" t="e">
        <f t="shared" si="1602"/>
        <v>#REF!</v>
      </c>
      <c r="L959" s="257" t="e">
        <f t="shared" si="1602"/>
        <v>#REF!</v>
      </c>
      <c r="M959" s="257" t="e">
        <f t="shared" si="1602"/>
        <v>#REF!</v>
      </c>
      <c r="N959" s="257" t="e">
        <f t="shared" si="1602"/>
        <v>#REF!</v>
      </c>
      <c r="O959" s="257" t="e">
        <f t="shared" si="1602"/>
        <v>#REF!</v>
      </c>
      <c r="P959" s="257" t="e">
        <f t="shared" si="1602"/>
        <v>#REF!</v>
      </c>
      <c r="Q959" s="257" t="e">
        <f t="shared" si="1592"/>
        <v>#REF!</v>
      </c>
      <c r="R959" s="257" t="e">
        <f t="shared" ref="R959:R1022" si="1603">P959+Q959</f>
        <v>#REF!</v>
      </c>
      <c r="S959" s="257" t="e">
        <f t="shared" si="1594"/>
        <v>#REF!</v>
      </c>
      <c r="T959" s="257" t="e">
        <f t="shared" si="1595"/>
        <v>#REF!</v>
      </c>
      <c r="U959" s="257" t="e">
        <f t="shared" si="1596"/>
        <v>#REF!</v>
      </c>
      <c r="V959" s="257" t="e">
        <f t="shared" si="1597"/>
        <v>#REF!</v>
      </c>
      <c r="W959" s="257" t="e">
        <f t="shared" si="1598"/>
        <v>#REF!</v>
      </c>
      <c r="X959" s="257" t="e">
        <f t="shared" si="1599"/>
        <v>#REF!</v>
      </c>
      <c r="Y959" s="257" t="e">
        <f t="shared" si="1600"/>
        <v>#REF!</v>
      </c>
      <c r="Z959" s="257" t="e">
        <f t="shared" si="1601"/>
        <v>#REF!</v>
      </c>
    </row>
    <row r="960" spans="1:26" ht="12.75" hidden="1" customHeight="1" x14ac:dyDescent="0.2">
      <c r="A960" s="259" t="s">
        <v>324</v>
      </c>
      <c r="B960" s="271">
        <v>811</v>
      </c>
      <c r="C960" s="252" t="s">
        <v>194</v>
      </c>
      <c r="D960" s="252">
        <v>10</v>
      </c>
      <c r="E960" s="252" t="s">
        <v>325</v>
      </c>
      <c r="F960" s="252"/>
      <c r="G960" s="257"/>
      <c r="H960" s="257"/>
      <c r="I960" s="257" t="e">
        <f>#REF!+G960</f>
        <v>#REF!</v>
      </c>
      <c r="J960" s="257" t="e">
        <f t="shared" si="1593"/>
        <v>#REF!</v>
      </c>
      <c r="K960" s="257" t="e">
        <f t="shared" si="1602"/>
        <v>#REF!</v>
      </c>
      <c r="L960" s="257" t="e">
        <f t="shared" si="1602"/>
        <v>#REF!</v>
      </c>
      <c r="M960" s="257" t="e">
        <f t="shared" si="1602"/>
        <v>#REF!</v>
      </c>
      <c r="N960" s="257" t="e">
        <f t="shared" si="1602"/>
        <v>#REF!</v>
      </c>
      <c r="O960" s="257" t="e">
        <f t="shared" si="1602"/>
        <v>#REF!</v>
      </c>
      <c r="P960" s="257" t="e">
        <f t="shared" si="1602"/>
        <v>#REF!</v>
      </c>
      <c r="Q960" s="257" t="e">
        <f t="shared" si="1592"/>
        <v>#REF!</v>
      </c>
      <c r="R960" s="257" t="e">
        <f t="shared" si="1603"/>
        <v>#REF!</v>
      </c>
      <c r="S960" s="257" t="e">
        <f t="shared" si="1594"/>
        <v>#REF!</v>
      </c>
      <c r="T960" s="257" t="e">
        <f t="shared" si="1595"/>
        <v>#REF!</v>
      </c>
      <c r="U960" s="257" t="e">
        <f t="shared" si="1596"/>
        <v>#REF!</v>
      </c>
      <c r="V960" s="257" t="e">
        <f t="shared" si="1597"/>
        <v>#REF!</v>
      </c>
      <c r="W960" s="257" t="e">
        <f t="shared" si="1598"/>
        <v>#REF!</v>
      </c>
      <c r="X960" s="257" t="e">
        <f t="shared" si="1599"/>
        <v>#REF!</v>
      </c>
      <c r="Y960" s="257" t="e">
        <f t="shared" si="1600"/>
        <v>#REF!</v>
      </c>
      <c r="Z960" s="257" t="e">
        <f t="shared" si="1601"/>
        <v>#REF!</v>
      </c>
    </row>
    <row r="961" spans="1:26" ht="25.5" hidden="1" customHeight="1" x14ac:dyDescent="0.2">
      <c r="A961" s="462" t="s">
        <v>48</v>
      </c>
      <c r="B961" s="249">
        <v>811</v>
      </c>
      <c r="C961" s="250" t="s">
        <v>194</v>
      </c>
      <c r="D961" s="250" t="s">
        <v>208</v>
      </c>
      <c r="E961" s="252"/>
      <c r="F961" s="252"/>
      <c r="G961" s="257"/>
      <c r="H961" s="257"/>
      <c r="I961" s="257" t="e">
        <f>#REF!+G961</f>
        <v>#REF!</v>
      </c>
      <c r="J961" s="257" t="e">
        <f t="shared" si="1593"/>
        <v>#REF!</v>
      </c>
      <c r="K961" s="257" t="e">
        <f t="shared" si="1602"/>
        <v>#REF!</v>
      </c>
      <c r="L961" s="257" t="e">
        <f t="shared" si="1602"/>
        <v>#REF!</v>
      </c>
      <c r="M961" s="257" t="e">
        <f t="shared" si="1602"/>
        <v>#REF!</v>
      </c>
      <c r="N961" s="257" t="e">
        <f t="shared" si="1602"/>
        <v>#REF!</v>
      </c>
      <c r="O961" s="257" t="e">
        <f t="shared" si="1602"/>
        <v>#REF!</v>
      </c>
      <c r="P961" s="257" t="e">
        <f t="shared" si="1602"/>
        <v>#REF!</v>
      </c>
      <c r="Q961" s="257" t="e">
        <f t="shared" si="1592"/>
        <v>#REF!</v>
      </c>
      <c r="R961" s="257" t="e">
        <f t="shared" si="1603"/>
        <v>#REF!</v>
      </c>
      <c r="S961" s="257" t="e">
        <f t="shared" si="1594"/>
        <v>#REF!</v>
      </c>
      <c r="T961" s="257" t="e">
        <f t="shared" si="1595"/>
        <v>#REF!</v>
      </c>
      <c r="U961" s="257" t="e">
        <f t="shared" si="1596"/>
        <v>#REF!</v>
      </c>
      <c r="V961" s="257" t="e">
        <f t="shared" si="1597"/>
        <v>#REF!</v>
      </c>
      <c r="W961" s="257" t="e">
        <f t="shared" si="1598"/>
        <v>#REF!</v>
      </c>
      <c r="X961" s="257" t="e">
        <f t="shared" si="1599"/>
        <v>#REF!</v>
      </c>
      <c r="Y961" s="257" t="e">
        <f t="shared" si="1600"/>
        <v>#REF!</v>
      </c>
      <c r="Z961" s="257" t="e">
        <f t="shared" si="1601"/>
        <v>#REF!</v>
      </c>
    </row>
    <row r="962" spans="1:26" ht="25.5" hidden="1" customHeight="1" x14ac:dyDescent="0.2">
      <c r="A962" s="259" t="s">
        <v>45</v>
      </c>
      <c r="B962" s="271">
        <v>811</v>
      </c>
      <c r="C962" s="252" t="s">
        <v>194</v>
      </c>
      <c r="D962" s="252" t="s">
        <v>208</v>
      </c>
      <c r="E962" s="252" t="s">
        <v>46</v>
      </c>
      <c r="F962" s="252"/>
      <c r="G962" s="257"/>
      <c r="H962" s="257"/>
      <c r="I962" s="257" t="e">
        <f>#REF!+G962</f>
        <v>#REF!</v>
      </c>
      <c r="J962" s="257" t="e">
        <f t="shared" si="1593"/>
        <v>#REF!</v>
      </c>
      <c r="K962" s="257" t="e">
        <f t="shared" si="1602"/>
        <v>#REF!</v>
      </c>
      <c r="L962" s="257" t="e">
        <f t="shared" si="1602"/>
        <v>#REF!</v>
      </c>
      <c r="M962" s="257" t="e">
        <f t="shared" si="1602"/>
        <v>#REF!</v>
      </c>
      <c r="N962" s="257" t="e">
        <f t="shared" si="1602"/>
        <v>#REF!</v>
      </c>
      <c r="O962" s="257" t="e">
        <f t="shared" si="1602"/>
        <v>#REF!</v>
      </c>
      <c r="P962" s="257" t="e">
        <f t="shared" si="1602"/>
        <v>#REF!</v>
      </c>
      <c r="Q962" s="257" t="e">
        <f t="shared" si="1592"/>
        <v>#REF!</v>
      </c>
      <c r="R962" s="257" t="e">
        <f t="shared" si="1603"/>
        <v>#REF!</v>
      </c>
      <c r="S962" s="257" t="e">
        <f t="shared" si="1594"/>
        <v>#REF!</v>
      </c>
      <c r="T962" s="257" t="e">
        <f t="shared" si="1595"/>
        <v>#REF!</v>
      </c>
      <c r="U962" s="257" t="e">
        <f t="shared" si="1596"/>
        <v>#REF!</v>
      </c>
      <c r="V962" s="257" t="e">
        <f t="shared" si="1597"/>
        <v>#REF!</v>
      </c>
      <c r="W962" s="257" t="e">
        <f t="shared" si="1598"/>
        <v>#REF!</v>
      </c>
      <c r="X962" s="257" t="e">
        <f t="shared" si="1599"/>
        <v>#REF!</v>
      </c>
      <c r="Y962" s="257" t="e">
        <f t="shared" si="1600"/>
        <v>#REF!</v>
      </c>
      <c r="Z962" s="257" t="e">
        <f t="shared" si="1601"/>
        <v>#REF!</v>
      </c>
    </row>
    <row r="963" spans="1:26" ht="12.75" hidden="1" customHeight="1" x14ac:dyDescent="0.2">
      <c r="A963" s="259" t="s">
        <v>299</v>
      </c>
      <c r="B963" s="271">
        <v>811</v>
      </c>
      <c r="C963" s="252" t="s">
        <v>194</v>
      </c>
      <c r="D963" s="252" t="s">
        <v>208</v>
      </c>
      <c r="E963" s="252" t="s">
        <v>47</v>
      </c>
      <c r="F963" s="252"/>
      <c r="G963" s="257"/>
      <c r="H963" s="257"/>
      <c r="I963" s="257" t="e">
        <f>#REF!+G963</f>
        <v>#REF!</v>
      </c>
      <c r="J963" s="257" t="e">
        <f t="shared" si="1593"/>
        <v>#REF!</v>
      </c>
      <c r="K963" s="257" t="e">
        <f t="shared" si="1602"/>
        <v>#REF!</v>
      </c>
      <c r="L963" s="257" t="e">
        <f t="shared" si="1602"/>
        <v>#REF!</v>
      </c>
      <c r="M963" s="257" t="e">
        <f t="shared" si="1602"/>
        <v>#REF!</v>
      </c>
      <c r="N963" s="257" t="e">
        <f t="shared" si="1602"/>
        <v>#REF!</v>
      </c>
      <c r="O963" s="257" t="e">
        <f t="shared" si="1602"/>
        <v>#REF!</v>
      </c>
      <c r="P963" s="257" t="e">
        <f t="shared" si="1602"/>
        <v>#REF!</v>
      </c>
      <c r="Q963" s="257" t="e">
        <f t="shared" si="1592"/>
        <v>#REF!</v>
      </c>
      <c r="R963" s="257" t="e">
        <f t="shared" si="1603"/>
        <v>#REF!</v>
      </c>
      <c r="S963" s="257" t="e">
        <f t="shared" si="1594"/>
        <v>#REF!</v>
      </c>
      <c r="T963" s="257" t="e">
        <f t="shared" si="1595"/>
        <v>#REF!</v>
      </c>
      <c r="U963" s="257" t="e">
        <f t="shared" si="1596"/>
        <v>#REF!</v>
      </c>
      <c r="V963" s="257" t="e">
        <f t="shared" si="1597"/>
        <v>#REF!</v>
      </c>
      <c r="W963" s="257" t="e">
        <f t="shared" si="1598"/>
        <v>#REF!</v>
      </c>
      <c r="X963" s="257" t="e">
        <f t="shared" si="1599"/>
        <v>#REF!</v>
      </c>
      <c r="Y963" s="257" t="e">
        <f t="shared" si="1600"/>
        <v>#REF!</v>
      </c>
      <c r="Z963" s="257" t="e">
        <f t="shared" si="1601"/>
        <v>#REF!</v>
      </c>
    </row>
    <row r="964" spans="1:26" ht="12.75" hidden="1" customHeight="1" x14ac:dyDescent="0.2">
      <c r="A964" s="259" t="s">
        <v>300</v>
      </c>
      <c r="B964" s="271">
        <v>811</v>
      </c>
      <c r="C964" s="252" t="s">
        <v>194</v>
      </c>
      <c r="D964" s="252" t="s">
        <v>208</v>
      </c>
      <c r="E964" s="252" t="s">
        <v>47</v>
      </c>
      <c r="F964" s="252" t="s">
        <v>301</v>
      </c>
      <c r="G964" s="257"/>
      <c r="H964" s="257"/>
      <c r="I964" s="257" t="e">
        <f>#REF!+G964</f>
        <v>#REF!</v>
      </c>
      <c r="J964" s="257" t="e">
        <f t="shared" si="1593"/>
        <v>#REF!</v>
      </c>
      <c r="K964" s="257" t="e">
        <f t="shared" si="1602"/>
        <v>#REF!</v>
      </c>
      <c r="L964" s="257" t="e">
        <f t="shared" si="1602"/>
        <v>#REF!</v>
      </c>
      <c r="M964" s="257" t="e">
        <f t="shared" si="1602"/>
        <v>#REF!</v>
      </c>
      <c r="N964" s="257" t="e">
        <f t="shared" si="1602"/>
        <v>#REF!</v>
      </c>
      <c r="O964" s="257" t="e">
        <f t="shared" si="1602"/>
        <v>#REF!</v>
      </c>
      <c r="P964" s="257" t="e">
        <f t="shared" si="1602"/>
        <v>#REF!</v>
      </c>
      <c r="Q964" s="257" t="e">
        <f t="shared" si="1592"/>
        <v>#REF!</v>
      </c>
      <c r="R964" s="257" t="e">
        <f t="shared" si="1603"/>
        <v>#REF!</v>
      </c>
      <c r="S964" s="257" t="e">
        <f t="shared" si="1594"/>
        <v>#REF!</v>
      </c>
      <c r="T964" s="257" t="e">
        <f t="shared" si="1595"/>
        <v>#REF!</v>
      </c>
      <c r="U964" s="257" t="e">
        <f t="shared" si="1596"/>
        <v>#REF!</v>
      </c>
      <c r="V964" s="257" t="e">
        <f t="shared" si="1597"/>
        <v>#REF!</v>
      </c>
      <c r="W964" s="257" t="e">
        <f t="shared" si="1598"/>
        <v>#REF!</v>
      </c>
      <c r="X964" s="257" t="e">
        <f t="shared" si="1599"/>
        <v>#REF!</v>
      </c>
      <c r="Y964" s="257" t="e">
        <f t="shared" si="1600"/>
        <v>#REF!</v>
      </c>
      <c r="Z964" s="257" t="e">
        <f t="shared" si="1601"/>
        <v>#REF!</v>
      </c>
    </row>
    <row r="965" spans="1:26" ht="12.75" hidden="1" customHeight="1" x14ac:dyDescent="0.2">
      <c r="A965" s="259" t="s">
        <v>302</v>
      </c>
      <c r="B965" s="271">
        <v>811</v>
      </c>
      <c r="C965" s="252" t="s">
        <v>194</v>
      </c>
      <c r="D965" s="252" t="s">
        <v>208</v>
      </c>
      <c r="E965" s="252" t="s">
        <v>47</v>
      </c>
      <c r="F965" s="252" t="s">
        <v>303</v>
      </c>
      <c r="G965" s="257"/>
      <c r="H965" s="257"/>
      <c r="I965" s="257" t="e">
        <f>#REF!+G965</f>
        <v>#REF!</v>
      </c>
      <c r="J965" s="257" t="e">
        <f t="shared" si="1593"/>
        <v>#REF!</v>
      </c>
      <c r="K965" s="257" t="e">
        <f t="shared" si="1602"/>
        <v>#REF!</v>
      </c>
      <c r="L965" s="257" t="e">
        <f t="shared" si="1602"/>
        <v>#REF!</v>
      </c>
      <c r="M965" s="257" t="e">
        <f t="shared" si="1602"/>
        <v>#REF!</v>
      </c>
      <c r="N965" s="257" t="e">
        <f t="shared" si="1602"/>
        <v>#REF!</v>
      </c>
      <c r="O965" s="257" t="e">
        <f t="shared" si="1602"/>
        <v>#REF!</v>
      </c>
      <c r="P965" s="257" t="e">
        <f t="shared" si="1602"/>
        <v>#REF!</v>
      </c>
      <c r="Q965" s="257" t="e">
        <f t="shared" si="1592"/>
        <v>#REF!</v>
      </c>
      <c r="R965" s="257" t="e">
        <f t="shared" si="1603"/>
        <v>#REF!</v>
      </c>
      <c r="S965" s="257" t="e">
        <f t="shared" si="1594"/>
        <v>#REF!</v>
      </c>
      <c r="T965" s="257" t="e">
        <f t="shared" si="1595"/>
        <v>#REF!</v>
      </c>
      <c r="U965" s="257" t="e">
        <f t="shared" si="1596"/>
        <v>#REF!</v>
      </c>
      <c r="V965" s="257" t="e">
        <f t="shared" si="1597"/>
        <v>#REF!</v>
      </c>
      <c r="W965" s="257" t="e">
        <f t="shared" si="1598"/>
        <v>#REF!</v>
      </c>
      <c r="X965" s="257" t="e">
        <f t="shared" si="1599"/>
        <v>#REF!</v>
      </c>
      <c r="Y965" s="257" t="e">
        <f t="shared" si="1600"/>
        <v>#REF!</v>
      </c>
      <c r="Z965" s="257" t="e">
        <f t="shared" si="1601"/>
        <v>#REF!</v>
      </c>
    </row>
    <row r="966" spans="1:26" ht="25.5" hidden="1" customHeight="1" x14ac:dyDescent="0.2">
      <c r="A966" s="462" t="s">
        <v>229</v>
      </c>
      <c r="B966" s="249">
        <v>811</v>
      </c>
      <c r="C966" s="250" t="s">
        <v>202</v>
      </c>
      <c r="D966" s="250" t="s">
        <v>198</v>
      </c>
      <c r="E966" s="250"/>
      <c r="F966" s="250"/>
      <c r="G966" s="257"/>
      <c r="H966" s="257"/>
      <c r="I966" s="257" t="e">
        <f>#REF!+G966</f>
        <v>#REF!</v>
      </c>
      <c r="J966" s="257" t="e">
        <f t="shared" si="1593"/>
        <v>#REF!</v>
      </c>
      <c r="K966" s="257" t="e">
        <f t="shared" si="1602"/>
        <v>#REF!</v>
      </c>
      <c r="L966" s="257" t="e">
        <f t="shared" si="1602"/>
        <v>#REF!</v>
      </c>
      <c r="M966" s="257" t="e">
        <f t="shared" si="1602"/>
        <v>#REF!</v>
      </c>
      <c r="N966" s="257" t="e">
        <f t="shared" si="1602"/>
        <v>#REF!</v>
      </c>
      <c r="O966" s="257" t="e">
        <f t="shared" si="1602"/>
        <v>#REF!</v>
      </c>
      <c r="P966" s="257" t="e">
        <f t="shared" si="1602"/>
        <v>#REF!</v>
      </c>
      <c r="Q966" s="257" t="e">
        <f t="shared" si="1592"/>
        <v>#REF!</v>
      </c>
      <c r="R966" s="257" t="e">
        <f t="shared" si="1603"/>
        <v>#REF!</v>
      </c>
      <c r="S966" s="257" t="e">
        <f t="shared" si="1594"/>
        <v>#REF!</v>
      </c>
      <c r="T966" s="257" t="e">
        <f t="shared" si="1595"/>
        <v>#REF!</v>
      </c>
      <c r="U966" s="257" t="e">
        <f t="shared" si="1596"/>
        <v>#REF!</v>
      </c>
      <c r="V966" s="257" t="e">
        <f t="shared" si="1597"/>
        <v>#REF!</v>
      </c>
      <c r="W966" s="257" t="e">
        <f t="shared" si="1598"/>
        <v>#REF!</v>
      </c>
      <c r="X966" s="257" t="e">
        <f t="shared" si="1599"/>
        <v>#REF!</v>
      </c>
      <c r="Y966" s="257" t="e">
        <f t="shared" si="1600"/>
        <v>#REF!</v>
      </c>
      <c r="Z966" s="257" t="e">
        <f t="shared" si="1601"/>
        <v>#REF!</v>
      </c>
    </row>
    <row r="967" spans="1:26" ht="12.75" hidden="1" customHeight="1" x14ac:dyDescent="0.2">
      <c r="A967" s="259" t="s">
        <v>358</v>
      </c>
      <c r="B967" s="271">
        <v>811</v>
      </c>
      <c r="C967" s="252" t="s">
        <v>202</v>
      </c>
      <c r="D967" s="252" t="s">
        <v>198</v>
      </c>
      <c r="E967" s="252" t="s">
        <v>359</v>
      </c>
      <c r="F967" s="252"/>
      <c r="G967" s="257"/>
      <c r="H967" s="257"/>
      <c r="I967" s="257" t="e">
        <f>#REF!+G967</f>
        <v>#REF!</v>
      </c>
      <c r="J967" s="257" t="e">
        <f t="shared" si="1593"/>
        <v>#REF!</v>
      </c>
      <c r="K967" s="257" t="e">
        <f t="shared" si="1602"/>
        <v>#REF!</v>
      </c>
      <c r="L967" s="257" t="e">
        <f t="shared" si="1602"/>
        <v>#REF!</v>
      </c>
      <c r="M967" s="257" t="e">
        <f t="shared" si="1602"/>
        <v>#REF!</v>
      </c>
      <c r="N967" s="257" t="e">
        <f t="shared" si="1602"/>
        <v>#REF!</v>
      </c>
      <c r="O967" s="257" t="e">
        <f t="shared" si="1602"/>
        <v>#REF!</v>
      </c>
      <c r="P967" s="257" t="e">
        <f t="shared" si="1602"/>
        <v>#REF!</v>
      </c>
      <c r="Q967" s="257" t="e">
        <f t="shared" si="1602"/>
        <v>#REF!</v>
      </c>
      <c r="R967" s="257" t="e">
        <f t="shared" si="1603"/>
        <v>#REF!</v>
      </c>
      <c r="S967" s="257" t="e">
        <f t="shared" si="1594"/>
        <v>#REF!</v>
      </c>
      <c r="T967" s="257" t="e">
        <f t="shared" si="1595"/>
        <v>#REF!</v>
      </c>
      <c r="U967" s="257" t="e">
        <f t="shared" si="1596"/>
        <v>#REF!</v>
      </c>
      <c r="V967" s="257" t="e">
        <f t="shared" si="1597"/>
        <v>#REF!</v>
      </c>
      <c r="W967" s="257" t="e">
        <f t="shared" si="1598"/>
        <v>#REF!</v>
      </c>
      <c r="X967" s="257" t="e">
        <f t="shared" si="1599"/>
        <v>#REF!</v>
      </c>
      <c r="Y967" s="257" t="e">
        <f t="shared" si="1600"/>
        <v>#REF!</v>
      </c>
      <c r="Z967" s="257" t="e">
        <f t="shared" si="1601"/>
        <v>#REF!</v>
      </c>
    </row>
    <row r="968" spans="1:26" ht="12.75" hidden="1" customHeight="1" x14ac:dyDescent="0.2">
      <c r="A968" s="259" t="s">
        <v>360</v>
      </c>
      <c r="B968" s="271">
        <v>811</v>
      </c>
      <c r="C968" s="252" t="s">
        <v>202</v>
      </c>
      <c r="D968" s="252" t="s">
        <v>198</v>
      </c>
      <c r="E968" s="252" t="s">
        <v>361</v>
      </c>
      <c r="F968" s="252"/>
      <c r="G968" s="257"/>
      <c r="H968" s="257"/>
      <c r="I968" s="257" t="e">
        <f>#REF!+G968</f>
        <v>#REF!</v>
      </c>
      <c r="J968" s="257" t="e">
        <f t="shared" si="1593"/>
        <v>#REF!</v>
      </c>
      <c r="K968" s="257" t="e">
        <f t="shared" si="1602"/>
        <v>#REF!</v>
      </c>
      <c r="L968" s="257" t="e">
        <f t="shared" si="1602"/>
        <v>#REF!</v>
      </c>
      <c r="M968" s="257" t="e">
        <f t="shared" si="1602"/>
        <v>#REF!</v>
      </c>
      <c r="N968" s="257" t="e">
        <f t="shared" si="1602"/>
        <v>#REF!</v>
      </c>
      <c r="O968" s="257" t="e">
        <f t="shared" si="1602"/>
        <v>#REF!</v>
      </c>
      <c r="P968" s="257" t="e">
        <f t="shared" si="1602"/>
        <v>#REF!</v>
      </c>
      <c r="Q968" s="257" t="e">
        <f t="shared" si="1602"/>
        <v>#REF!</v>
      </c>
      <c r="R968" s="257" t="e">
        <f t="shared" si="1603"/>
        <v>#REF!</v>
      </c>
      <c r="S968" s="257" t="e">
        <f t="shared" si="1594"/>
        <v>#REF!</v>
      </c>
      <c r="T968" s="257" t="e">
        <f t="shared" si="1595"/>
        <v>#REF!</v>
      </c>
      <c r="U968" s="257" t="e">
        <f t="shared" si="1596"/>
        <v>#REF!</v>
      </c>
      <c r="V968" s="257" t="e">
        <f t="shared" si="1597"/>
        <v>#REF!</v>
      </c>
      <c r="W968" s="257" t="e">
        <f t="shared" si="1598"/>
        <v>#REF!</v>
      </c>
      <c r="X968" s="257" t="e">
        <f t="shared" si="1599"/>
        <v>#REF!</v>
      </c>
      <c r="Y968" s="257" t="e">
        <f t="shared" si="1600"/>
        <v>#REF!</v>
      </c>
      <c r="Z968" s="257" t="e">
        <f t="shared" si="1601"/>
        <v>#REF!</v>
      </c>
    </row>
    <row r="969" spans="1:26" ht="12.75" hidden="1" customHeight="1" x14ac:dyDescent="0.2">
      <c r="A969" s="259" t="s">
        <v>300</v>
      </c>
      <c r="B969" s="271">
        <v>811</v>
      </c>
      <c r="C969" s="252" t="s">
        <v>202</v>
      </c>
      <c r="D969" s="252" t="s">
        <v>198</v>
      </c>
      <c r="E969" s="252" t="s">
        <v>361</v>
      </c>
      <c r="F969" s="252" t="s">
        <v>301</v>
      </c>
      <c r="G969" s="257"/>
      <c r="H969" s="257"/>
      <c r="I969" s="257" t="e">
        <f>#REF!+G969</f>
        <v>#REF!</v>
      </c>
      <c r="J969" s="257" t="e">
        <f t="shared" si="1593"/>
        <v>#REF!</v>
      </c>
      <c r="K969" s="257" t="e">
        <f t="shared" si="1602"/>
        <v>#REF!</v>
      </c>
      <c r="L969" s="257" t="e">
        <f t="shared" si="1602"/>
        <v>#REF!</v>
      </c>
      <c r="M969" s="257" t="e">
        <f t="shared" si="1602"/>
        <v>#REF!</v>
      </c>
      <c r="N969" s="257" t="e">
        <f t="shared" si="1602"/>
        <v>#REF!</v>
      </c>
      <c r="O969" s="257" t="e">
        <f t="shared" si="1602"/>
        <v>#REF!</v>
      </c>
      <c r="P969" s="257" t="e">
        <f t="shared" si="1602"/>
        <v>#REF!</v>
      </c>
      <c r="Q969" s="257" t="e">
        <f t="shared" si="1602"/>
        <v>#REF!</v>
      </c>
      <c r="R969" s="257" t="e">
        <f t="shared" si="1603"/>
        <v>#REF!</v>
      </c>
      <c r="S969" s="257" t="e">
        <f t="shared" si="1594"/>
        <v>#REF!</v>
      </c>
      <c r="T969" s="257" t="e">
        <f t="shared" si="1595"/>
        <v>#REF!</v>
      </c>
      <c r="U969" s="257" t="e">
        <f t="shared" si="1596"/>
        <v>#REF!</v>
      </c>
      <c r="V969" s="257" t="e">
        <f t="shared" si="1597"/>
        <v>#REF!</v>
      </c>
      <c r="W969" s="257" t="e">
        <f t="shared" si="1598"/>
        <v>#REF!</v>
      </c>
      <c r="X969" s="257" t="e">
        <f t="shared" si="1599"/>
        <v>#REF!</v>
      </c>
      <c r="Y969" s="257" t="e">
        <f t="shared" si="1600"/>
        <v>#REF!</v>
      </c>
      <c r="Z969" s="257" t="e">
        <f t="shared" si="1601"/>
        <v>#REF!</v>
      </c>
    </row>
    <row r="970" spans="1:26" ht="12.75" hidden="1" customHeight="1" x14ac:dyDescent="0.2">
      <c r="A970" s="525" t="s">
        <v>49</v>
      </c>
      <c r="B970" s="526"/>
      <c r="C970" s="526"/>
      <c r="D970" s="526"/>
      <c r="E970" s="526"/>
      <c r="F970" s="526"/>
      <c r="G970" s="257"/>
      <c r="H970" s="257"/>
      <c r="I970" s="257" t="e">
        <f>#REF!+G970</f>
        <v>#REF!</v>
      </c>
      <c r="J970" s="257" t="e">
        <f t="shared" si="1593"/>
        <v>#REF!</v>
      </c>
      <c r="K970" s="257" t="e">
        <f t="shared" si="1602"/>
        <v>#REF!</v>
      </c>
      <c r="L970" s="257" t="e">
        <f t="shared" si="1602"/>
        <v>#REF!</v>
      </c>
      <c r="M970" s="257" t="e">
        <f t="shared" si="1602"/>
        <v>#REF!</v>
      </c>
      <c r="N970" s="257" t="e">
        <f t="shared" si="1602"/>
        <v>#REF!</v>
      </c>
      <c r="O970" s="257" t="e">
        <f t="shared" si="1602"/>
        <v>#REF!</v>
      </c>
      <c r="P970" s="257" t="e">
        <f t="shared" si="1602"/>
        <v>#REF!</v>
      </c>
      <c r="Q970" s="257" t="e">
        <f t="shared" si="1602"/>
        <v>#REF!</v>
      </c>
      <c r="R970" s="257" t="e">
        <f t="shared" si="1603"/>
        <v>#REF!</v>
      </c>
      <c r="S970" s="257" t="e">
        <f t="shared" si="1594"/>
        <v>#REF!</v>
      </c>
      <c r="T970" s="257" t="e">
        <f t="shared" si="1595"/>
        <v>#REF!</v>
      </c>
      <c r="U970" s="257" t="e">
        <f t="shared" si="1596"/>
        <v>#REF!</v>
      </c>
      <c r="V970" s="257" t="e">
        <f t="shared" si="1597"/>
        <v>#REF!</v>
      </c>
      <c r="W970" s="257" t="e">
        <f t="shared" si="1598"/>
        <v>#REF!</v>
      </c>
      <c r="X970" s="257" t="e">
        <f t="shared" si="1599"/>
        <v>#REF!</v>
      </c>
      <c r="Y970" s="257" t="e">
        <f t="shared" si="1600"/>
        <v>#REF!</v>
      </c>
      <c r="Z970" s="257" t="e">
        <f t="shared" si="1601"/>
        <v>#REF!</v>
      </c>
    </row>
    <row r="971" spans="1:26" ht="12.75" hidden="1" customHeight="1" x14ac:dyDescent="0.2">
      <c r="A971" s="462" t="s">
        <v>306</v>
      </c>
      <c r="B971" s="250" t="s">
        <v>50</v>
      </c>
      <c r="C971" s="250" t="s">
        <v>196</v>
      </c>
      <c r="D971" s="250"/>
      <c r="E971" s="250"/>
      <c r="F971" s="250"/>
      <c r="G971" s="257"/>
      <c r="H971" s="257"/>
      <c r="I971" s="257" t="e">
        <f>#REF!+G971</f>
        <v>#REF!</v>
      </c>
      <c r="J971" s="257" t="e">
        <f t="shared" si="1593"/>
        <v>#REF!</v>
      </c>
      <c r="K971" s="257" t="e">
        <f t="shared" si="1602"/>
        <v>#REF!</v>
      </c>
      <c r="L971" s="257" t="e">
        <f t="shared" si="1602"/>
        <v>#REF!</v>
      </c>
      <c r="M971" s="257" t="e">
        <f t="shared" si="1602"/>
        <v>#REF!</v>
      </c>
      <c r="N971" s="257" t="e">
        <f t="shared" si="1602"/>
        <v>#REF!</v>
      </c>
      <c r="O971" s="257" t="e">
        <f t="shared" si="1602"/>
        <v>#REF!</v>
      </c>
      <c r="P971" s="257" t="e">
        <f t="shared" si="1602"/>
        <v>#REF!</v>
      </c>
      <c r="Q971" s="257" t="e">
        <f t="shared" si="1602"/>
        <v>#REF!</v>
      </c>
      <c r="R971" s="257" t="e">
        <f t="shared" si="1603"/>
        <v>#REF!</v>
      </c>
      <c r="S971" s="257" t="e">
        <f t="shared" si="1594"/>
        <v>#REF!</v>
      </c>
      <c r="T971" s="257" t="e">
        <f t="shared" si="1595"/>
        <v>#REF!</v>
      </c>
      <c r="U971" s="257" t="e">
        <f t="shared" si="1596"/>
        <v>#REF!</v>
      </c>
      <c r="V971" s="257" t="e">
        <f t="shared" si="1597"/>
        <v>#REF!</v>
      </c>
      <c r="W971" s="257" t="e">
        <f t="shared" si="1598"/>
        <v>#REF!</v>
      </c>
      <c r="X971" s="257" t="e">
        <f t="shared" si="1599"/>
        <v>#REF!</v>
      </c>
      <c r="Y971" s="257" t="e">
        <f t="shared" si="1600"/>
        <v>#REF!</v>
      </c>
      <c r="Z971" s="257" t="e">
        <f t="shared" si="1601"/>
        <v>#REF!</v>
      </c>
    </row>
    <row r="972" spans="1:26" ht="12.75" hidden="1" customHeight="1" x14ac:dyDescent="0.2">
      <c r="A972" s="462" t="s">
        <v>216</v>
      </c>
      <c r="B972" s="250" t="s">
        <v>50</v>
      </c>
      <c r="C972" s="250" t="s">
        <v>196</v>
      </c>
      <c r="D972" s="250" t="s">
        <v>190</v>
      </c>
      <c r="E972" s="250"/>
      <c r="F972" s="250"/>
      <c r="G972" s="257"/>
      <c r="H972" s="257"/>
      <c r="I972" s="257" t="e">
        <f>#REF!+G972</f>
        <v>#REF!</v>
      </c>
      <c r="J972" s="257" t="e">
        <f t="shared" si="1593"/>
        <v>#REF!</v>
      </c>
      <c r="K972" s="257" t="e">
        <f t="shared" si="1602"/>
        <v>#REF!</v>
      </c>
      <c r="L972" s="257" t="e">
        <f t="shared" si="1602"/>
        <v>#REF!</v>
      </c>
      <c r="M972" s="257" t="e">
        <f t="shared" si="1602"/>
        <v>#REF!</v>
      </c>
      <c r="N972" s="257" t="e">
        <f t="shared" si="1602"/>
        <v>#REF!</v>
      </c>
      <c r="O972" s="257" t="e">
        <f t="shared" si="1602"/>
        <v>#REF!</v>
      </c>
      <c r="P972" s="257" t="e">
        <f t="shared" si="1602"/>
        <v>#REF!</v>
      </c>
      <c r="Q972" s="257" t="e">
        <f t="shared" si="1602"/>
        <v>#REF!</v>
      </c>
      <c r="R972" s="257" t="e">
        <f t="shared" si="1603"/>
        <v>#REF!</v>
      </c>
      <c r="S972" s="257" t="e">
        <f t="shared" si="1594"/>
        <v>#REF!</v>
      </c>
      <c r="T972" s="257" t="e">
        <f t="shared" si="1595"/>
        <v>#REF!</v>
      </c>
      <c r="U972" s="257" t="e">
        <f t="shared" si="1596"/>
        <v>#REF!</v>
      </c>
      <c r="V972" s="257" t="e">
        <f t="shared" si="1597"/>
        <v>#REF!</v>
      </c>
      <c r="W972" s="257" t="e">
        <f t="shared" si="1598"/>
        <v>#REF!</v>
      </c>
      <c r="X972" s="257" t="e">
        <f t="shared" si="1599"/>
        <v>#REF!</v>
      </c>
      <c r="Y972" s="257" t="e">
        <f t="shared" si="1600"/>
        <v>#REF!</v>
      </c>
      <c r="Z972" s="257" t="e">
        <f t="shared" si="1601"/>
        <v>#REF!</v>
      </c>
    </row>
    <row r="973" spans="1:26" ht="38.25" hidden="1" customHeight="1" x14ac:dyDescent="0.2">
      <c r="A973" s="259" t="s">
        <v>123</v>
      </c>
      <c r="B973" s="252" t="s">
        <v>50</v>
      </c>
      <c r="C973" s="252" t="s">
        <v>196</v>
      </c>
      <c r="D973" s="252" t="s">
        <v>190</v>
      </c>
      <c r="E973" s="260" t="s">
        <v>332</v>
      </c>
      <c r="F973" s="250"/>
      <c r="G973" s="257"/>
      <c r="H973" s="257"/>
      <c r="I973" s="257" t="e">
        <f>#REF!+G973</f>
        <v>#REF!</v>
      </c>
      <c r="J973" s="257" t="e">
        <f t="shared" si="1593"/>
        <v>#REF!</v>
      </c>
      <c r="K973" s="257" t="e">
        <f t="shared" si="1602"/>
        <v>#REF!</v>
      </c>
      <c r="L973" s="257" t="e">
        <f t="shared" si="1602"/>
        <v>#REF!</v>
      </c>
      <c r="M973" s="257" t="e">
        <f t="shared" si="1602"/>
        <v>#REF!</v>
      </c>
      <c r="N973" s="257" t="e">
        <f t="shared" si="1602"/>
        <v>#REF!</v>
      </c>
      <c r="O973" s="257" t="e">
        <f t="shared" si="1602"/>
        <v>#REF!</v>
      </c>
      <c r="P973" s="257" t="e">
        <f t="shared" si="1602"/>
        <v>#REF!</v>
      </c>
      <c r="Q973" s="257" t="e">
        <f t="shared" si="1602"/>
        <v>#REF!</v>
      </c>
      <c r="R973" s="257" t="e">
        <f t="shared" si="1603"/>
        <v>#REF!</v>
      </c>
      <c r="S973" s="257" t="e">
        <f t="shared" si="1594"/>
        <v>#REF!</v>
      </c>
      <c r="T973" s="257" t="e">
        <f t="shared" si="1595"/>
        <v>#REF!</v>
      </c>
      <c r="U973" s="257" t="e">
        <f t="shared" si="1596"/>
        <v>#REF!</v>
      </c>
      <c r="V973" s="257" t="e">
        <f t="shared" si="1597"/>
        <v>#REF!</v>
      </c>
      <c r="W973" s="257" t="e">
        <f t="shared" si="1598"/>
        <v>#REF!</v>
      </c>
      <c r="X973" s="257" t="e">
        <f t="shared" si="1599"/>
        <v>#REF!</v>
      </c>
      <c r="Y973" s="257" t="e">
        <f t="shared" si="1600"/>
        <v>#REF!</v>
      </c>
      <c r="Z973" s="257" t="e">
        <f t="shared" si="1601"/>
        <v>#REF!</v>
      </c>
    </row>
    <row r="974" spans="1:26" ht="12.75" hidden="1" customHeight="1" x14ac:dyDescent="0.2">
      <c r="A974" s="259" t="s">
        <v>333</v>
      </c>
      <c r="B974" s="252" t="s">
        <v>50</v>
      </c>
      <c r="C974" s="252" t="s">
        <v>196</v>
      </c>
      <c r="D974" s="252" t="s">
        <v>190</v>
      </c>
      <c r="E974" s="260" t="s">
        <v>334</v>
      </c>
      <c r="F974" s="250"/>
      <c r="G974" s="257"/>
      <c r="H974" s="257"/>
      <c r="I974" s="257" t="e">
        <f>#REF!+G974</f>
        <v>#REF!</v>
      </c>
      <c r="J974" s="257" t="e">
        <f t="shared" si="1593"/>
        <v>#REF!</v>
      </c>
      <c r="K974" s="257" t="e">
        <f t="shared" si="1602"/>
        <v>#REF!</v>
      </c>
      <c r="L974" s="257" t="e">
        <f t="shared" si="1602"/>
        <v>#REF!</v>
      </c>
      <c r="M974" s="257" t="e">
        <f t="shared" si="1602"/>
        <v>#REF!</v>
      </c>
      <c r="N974" s="257" t="e">
        <f t="shared" si="1602"/>
        <v>#REF!</v>
      </c>
      <c r="O974" s="257" t="e">
        <f t="shared" si="1602"/>
        <v>#REF!</v>
      </c>
      <c r="P974" s="257" t="e">
        <f t="shared" si="1602"/>
        <v>#REF!</v>
      </c>
      <c r="Q974" s="257" t="e">
        <f t="shared" si="1602"/>
        <v>#REF!</v>
      </c>
      <c r="R974" s="257" t="e">
        <f t="shared" si="1603"/>
        <v>#REF!</v>
      </c>
      <c r="S974" s="257" t="e">
        <f t="shared" si="1594"/>
        <v>#REF!</v>
      </c>
      <c r="T974" s="257" t="e">
        <f t="shared" si="1595"/>
        <v>#REF!</v>
      </c>
      <c r="U974" s="257" t="e">
        <f t="shared" si="1596"/>
        <v>#REF!</v>
      </c>
      <c r="V974" s="257" t="e">
        <f t="shared" si="1597"/>
        <v>#REF!</v>
      </c>
      <c r="W974" s="257" t="e">
        <f t="shared" si="1598"/>
        <v>#REF!</v>
      </c>
      <c r="X974" s="257" t="e">
        <f t="shared" si="1599"/>
        <v>#REF!</v>
      </c>
      <c r="Y974" s="257" t="e">
        <f t="shared" si="1600"/>
        <v>#REF!</v>
      </c>
      <c r="Z974" s="257" t="e">
        <f t="shared" si="1601"/>
        <v>#REF!</v>
      </c>
    </row>
    <row r="975" spans="1:26" ht="12.75" hidden="1" customHeight="1" x14ac:dyDescent="0.2">
      <c r="A975" s="259" t="s">
        <v>320</v>
      </c>
      <c r="B975" s="252" t="s">
        <v>50</v>
      </c>
      <c r="C975" s="252" t="s">
        <v>196</v>
      </c>
      <c r="D975" s="252" t="s">
        <v>190</v>
      </c>
      <c r="E975" s="260" t="s">
        <v>334</v>
      </c>
      <c r="F975" s="252" t="s">
        <v>321</v>
      </c>
      <c r="G975" s="257"/>
      <c r="H975" s="257"/>
      <c r="I975" s="257" t="e">
        <f>#REF!+G975</f>
        <v>#REF!</v>
      </c>
      <c r="J975" s="257" t="e">
        <f t="shared" si="1593"/>
        <v>#REF!</v>
      </c>
      <c r="K975" s="257" t="e">
        <f t="shared" si="1602"/>
        <v>#REF!</v>
      </c>
      <c r="L975" s="257" t="e">
        <f t="shared" si="1602"/>
        <v>#REF!</v>
      </c>
      <c r="M975" s="257" t="e">
        <f t="shared" si="1602"/>
        <v>#REF!</v>
      </c>
      <c r="N975" s="257" t="e">
        <f t="shared" si="1602"/>
        <v>#REF!</v>
      </c>
      <c r="O975" s="257" t="e">
        <f t="shared" si="1602"/>
        <v>#REF!</v>
      </c>
      <c r="P975" s="257" t="e">
        <f t="shared" si="1602"/>
        <v>#REF!</v>
      </c>
      <c r="Q975" s="257" t="e">
        <f t="shared" si="1602"/>
        <v>#REF!</v>
      </c>
      <c r="R975" s="257" t="e">
        <f t="shared" si="1603"/>
        <v>#REF!</v>
      </c>
      <c r="S975" s="257" t="e">
        <f t="shared" si="1594"/>
        <v>#REF!</v>
      </c>
      <c r="T975" s="257" t="e">
        <f t="shared" si="1595"/>
        <v>#REF!</v>
      </c>
      <c r="U975" s="257" t="e">
        <f t="shared" si="1596"/>
        <v>#REF!</v>
      </c>
      <c r="V975" s="257" t="e">
        <f t="shared" si="1597"/>
        <v>#REF!</v>
      </c>
      <c r="W975" s="257" t="e">
        <f t="shared" si="1598"/>
        <v>#REF!</v>
      </c>
      <c r="X975" s="257" t="e">
        <f t="shared" si="1599"/>
        <v>#REF!</v>
      </c>
      <c r="Y975" s="257" t="e">
        <f t="shared" si="1600"/>
        <v>#REF!</v>
      </c>
      <c r="Z975" s="257" t="e">
        <f t="shared" si="1601"/>
        <v>#REF!</v>
      </c>
    </row>
    <row r="976" spans="1:26" ht="12.75" hidden="1" customHeight="1" x14ac:dyDescent="0.2">
      <c r="A976" s="259" t="s">
        <v>344</v>
      </c>
      <c r="B976" s="252" t="s">
        <v>50</v>
      </c>
      <c r="C976" s="252" t="s">
        <v>196</v>
      </c>
      <c r="D976" s="252" t="s">
        <v>190</v>
      </c>
      <c r="E976" s="252" t="s">
        <v>51</v>
      </c>
      <c r="F976" s="252"/>
      <c r="G976" s="257"/>
      <c r="H976" s="257"/>
      <c r="I976" s="257" t="e">
        <f>#REF!+G976</f>
        <v>#REF!</v>
      </c>
      <c r="J976" s="257" t="e">
        <f t="shared" si="1593"/>
        <v>#REF!</v>
      </c>
      <c r="K976" s="257" t="e">
        <f t="shared" si="1602"/>
        <v>#REF!</v>
      </c>
      <c r="L976" s="257" t="e">
        <f t="shared" si="1602"/>
        <v>#REF!</v>
      </c>
      <c r="M976" s="257" t="e">
        <f t="shared" si="1602"/>
        <v>#REF!</v>
      </c>
      <c r="N976" s="257" t="e">
        <f t="shared" si="1602"/>
        <v>#REF!</v>
      </c>
      <c r="O976" s="257" t="e">
        <f t="shared" si="1602"/>
        <v>#REF!</v>
      </c>
      <c r="P976" s="257" t="e">
        <f t="shared" si="1602"/>
        <v>#REF!</v>
      </c>
      <c r="Q976" s="257" t="e">
        <f t="shared" si="1602"/>
        <v>#REF!</v>
      </c>
      <c r="R976" s="257" t="e">
        <f t="shared" si="1603"/>
        <v>#REF!</v>
      </c>
      <c r="S976" s="257" t="e">
        <f t="shared" si="1594"/>
        <v>#REF!</v>
      </c>
      <c r="T976" s="257" t="e">
        <f t="shared" si="1595"/>
        <v>#REF!</v>
      </c>
      <c r="U976" s="257" t="e">
        <f t="shared" si="1596"/>
        <v>#REF!</v>
      </c>
      <c r="V976" s="257" t="e">
        <f t="shared" si="1597"/>
        <v>#REF!</v>
      </c>
      <c r="W976" s="257" t="e">
        <f t="shared" si="1598"/>
        <v>#REF!</v>
      </c>
      <c r="X976" s="257" t="e">
        <f t="shared" si="1599"/>
        <v>#REF!</v>
      </c>
      <c r="Y976" s="257" t="e">
        <f t="shared" si="1600"/>
        <v>#REF!</v>
      </c>
      <c r="Z976" s="257" t="e">
        <f t="shared" si="1601"/>
        <v>#REF!</v>
      </c>
    </row>
    <row r="977" spans="1:26" ht="38.25" hidden="1" customHeight="1" x14ac:dyDescent="0.2">
      <c r="A977" s="259" t="s">
        <v>52</v>
      </c>
      <c r="B977" s="252" t="s">
        <v>50</v>
      </c>
      <c r="C977" s="252" t="s">
        <v>196</v>
      </c>
      <c r="D977" s="252" t="s">
        <v>190</v>
      </c>
      <c r="E977" s="252" t="s">
        <v>53</v>
      </c>
      <c r="F977" s="252"/>
      <c r="G977" s="257"/>
      <c r="H977" s="257"/>
      <c r="I977" s="257" t="e">
        <f>#REF!+G977</f>
        <v>#REF!</v>
      </c>
      <c r="J977" s="257" t="e">
        <f t="shared" si="1593"/>
        <v>#REF!</v>
      </c>
      <c r="K977" s="257" t="e">
        <f t="shared" si="1602"/>
        <v>#REF!</v>
      </c>
      <c r="L977" s="257" t="e">
        <f t="shared" si="1602"/>
        <v>#REF!</v>
      </c>
      <c r="M977" s="257" t="e">
        <f t="shared" si="1602"/>
        <v>#REF!</v>
      </c>
      <c r="N977" s="257" t="e">
        <f t="shared" si="1602"/>
        <v>#REF!</v>
      </c>
      <c r="O977" s="257" t="e">
        <f t="shared" si="1602"/>
        <v>#REF!</v>
      </c>
      <c r="P977" s="257" t="e">
        <f t="shared" si="1602"/>
        <v>#REF!</v>
      </c>
      <c r="Q977" s="257" t="e">
        <f t="shared" si="1602"/>
        <v>#REF!</v>
      </c>
      <c r="R977" s="257" t="e">
        <f t="shared" si="1603"/>
        <v>#REF!</v>
      </c>
      <c r="S977" s="257" t="e">
        <f t="shared" si="1594"/>
        <v>#REF!</v>
      </c>
      <c r="T977" s="257" t="e">
        <f t="shared" si="1595"/>
        <v>#REF!</v>
      </c>
      <c r="U977" s="257" t="e">
        <f t="shared" si="1596"/>
        <v>#REF!</v>
      </c>
      <c r="V977" s="257" t="e">
        <f t="shared" si="1597"/>
        <v>#REF!</v>
      </c>
      <c r="W977" s="257" t="e">
        <f t="shared" si="1598"/>
        <v>#REF!</v>
      </c>
      <c r="X977" s="257" t="e">
        <f t="shared" si="1599"/>
        <v>#REF!</v>
      </c>
      <c r="Y977" s="257" t="e">
        <f t="shared" si="1600"/>
        <v>#REF!</v>
      </c>
      <c r="Z977" s="257" t="e">
        <f t="shared" si="1601"/>
        <v>#REF!</v>
      </c>
    </row>
    <row r="978" spans="1:26" ht="12.75" hidden="1" customHeight="1" x14ac:dyDescent="0.2">
      <c r="A978" s="259" t="s">
        <v>300</v>
      </c>
      <c r="B978" s="252" t="s">
        <v>50</v>
      </c>
      <c r="C978" s="252" t="s">
        <v>196</v>
      </c>
      <c r="D978" s="252" t="s">
        <v>190</v>
      </c>
      <c r="E978" s="252" t="s">
        <v>53</v>
      </c>
      <c r="F978" s="252" t="s">
        <v>301</v>
      </c>
      <c r="G978" s="257"/>
      <c r="H978" s="257"/>
      <c r="I978" s="257" t="e">
        <f>#REF!+G978</f>
        <v>#REF!</v>
      </c>
      <c r="J978" s="257" t="e">
        <f t="shared" si="1593"/>
        <v>#REF!</v>
      </c>
      <c r="K978" s="257" t="e">
        <f t="shared" si="1602"/>
        <v>#REF!</v>
      </c>
      <c r="L978" s="257" t="e">
        <f t="shared" si="1602"/>
        <v>#REF!</v>
      </c>
      <c r="M978" s="257" t="e">
        <f t="shared" si="1602"/>
        <v>#REF!</v>
      </c>
      <c r="N978" s="257" t="e">
        <f t="shared" si="1602"/>
        <v>#REF!</v>
      </c>
      <c r="O978" s="257" t="e">
        <f t="shared" si="1602"/>
        <v>#REF!</v>
      </c>
      <c r="P978" s="257" t="e">
        <f t="shared" si="1602"/>
        <v>#REF!</v>
      </c>
      <c r="Q978" s="257" t="e">
        <f t="shared" si="1602"/>
        <v>#REF!</v>
      </c>
      <c r="R978" s="257" t="e">
        <f t="shared" si="1603"/>
        <v>#REF!</v>
      </c>
      <c r="S978" s="257" t="e">
        <f t="shared" si="1594"/>
        <v>#REF!</v>
      </c>
      <c r="T978" s="257" t="e">
        <f t="shared" si="1595"/>
        <v>#REF!</v>
      </c>
      <c r="U978" s="257" t="e">
        <f t="shared" si="1596"/>
        <v>#REF!</v>
      </c>
      <c r="V978" s="257" t="e">
        <f t="shared" si="1597"/>
        <v>#REF!</v>
      </c>
      <c r="W978" s="257" t="e">
        <f t="shared" si="1598"/>
        <v>#REF!</v>
      </c>
      <c r="X978" s="257" t="e">
        <f t="shared" si="1599"/>
        <v>#REF!</v>
      </c>
      <c r="Y978" s="257" t="e">
        <f t="shared" si="1600"/>
        <v>#REF!</v>
      </c>
      <c r="Z978" s="257" t="e">
        <f t="shared" si="1601"/>
        <v>#REF!</v>
      </c>
    </row>
    <row r="979" spans="1:26" ht="12.75" hidden="1" customHeight="1" x14ac:dyDescent="0.2">
      <c r="A979" s="462" t="s">
        <v>65</v>
      </c>
      <c r="B979" s="250" t="s">
        <v>50</v>
      </c>
      <c r="C979" s="250" t="s">
        <v>214</v>
      </c>
      <c r="D979" s="250"/>
      <c r="E979" s="252"/>
      <c r="F979" s="252"/>
      <c r="G979" s="257"/>
      <c r="H979" s="257"/>
      <c r="I979" s="257" t="e">
        <f>#REF!+G979</f>
        <v>#REF!</v>
      </c>
      <c r="J979" s="257" t="e">
        <f t="shared" si="1593"/>
        <v>#REF!</v>
      </c>
      <c r="K979" s="257" t="e">
        <f t="shared" si="1602"/>
        <v>#REF!</v>
      </c>
      <c r="L979" s="257" t="e">
        <f t="shared" si="1602"/>
        <v>#REF!</v>
      </c>
      <c r="M979" s="257" t="e">
        <f t="shared" si="1602"/>
        <v>#REF!</v>
      </c>
      <c r="N979" s="257" t="e">
        <f t="shared" si="1602"/>
        <v>#REF!</v>
      </c>
      <c r="O979" s="257" t="e">
        <f t="shared" si="1602"/>
        <v>#REF!</v>
      </c>
      <c r="P979" s="257" t="e">
        <f t="shared" si="1602"/>
        <v>#REF!</v>
      </c>
      <c r="Q979" s="257" t="e">
        <f t="shared" si="1602"/>
        <v>#REF!</v>
      </c>
      <c r="R979" s="257" t="e">
        <f t="shared" si="1603"/>
        <v>#REF!</v>
      </c>
      <c r="S979" s="257" t="e">
        <f t="shared" si="1594"/>
        <v>#REF!</v>
      </c>
      <c r="T979" s="257" t="e">
        <f t="shared" si="1595"/>
        <v>#REF!</v>
      </c>
      <c r="U979" s="257" t="e">
        <f t="shared" si="1596"/>
        <v>#REF!</v>
      </c>
      <c r="V979" s="257" t="e">
        <f t="shared" si="1597"/>
        <v>#REF!</v>
      </c>
      <c r="W979" s="257" t="e">
        <f t="shared" si="1598"/>
        <v>#REF!</v>
      </c>
      <c r="X979" s="257" t="e">
        <f t="shared" si="1599"/>
        <v>#REF!</v>
      </c>
      <c r="Y979" s="257" t="e">
        <f t="shared" si="1600"/>
        <v>#REF!</v>
      </c>
      <c r="Z979" s="257" t="e">
        <f t="shared" si="1601"/>
        <v>#REF!</v>
      </c>
    </row>
    <row r="980" spans="1:26" ht="12.75" hidden="1" customHeight="1" x14ac:dyDescent="0.2">
      <c r="A980" s="462" t="s">
        <v>277</v>
      </c>
      <c r="B980" s="250" t="s">
        <v>50</v>
      </c>
      <c r="C980" s="250" t="s">
        <v>214</v>
      </c>
      <c r="D980" s="250" t="s">
        <v>194</v>
      </c>
      <c r="E980" s="252"/>
      <c r="F980" s="252"/>
      <c r="G980" s="257"/>
      <c r="H980" s="257"/>
      <c r="I980" s="257" t="e">
        <f>#REF!+G980</f>
        <v>#REF!</v>
      </c>
      <c r="J980" s="257" t="e">
        <f t="shared" si="1593"/>
        <v>#REF!</v>
      </c>
      <c r="K980" s="257" t="e">
        <f t="shared" si="1602"/>
        <v>#REF!</v>
      </c>
      <c r="L980" s="257" t="e">
        <f t="shared" si="1602"/>
        <v>#REF!</v>
      </c>
      <c r="M980" s="257" t="e">
        <f t="shared" ref="K980:Q1016" si="1604">J980+K980</f>
        <v>#REF!</v>
      </c>
      <c r="N980" s="257" t="e">
        <f t="shared" si="1604"/>
        <v>#REF!</v>
      </c>
      <c r="O980" s="257" t="e">
        <f t="shared" si="1604"/>
        <v>#REF!</v>
      </c>
      <c r="P980" s="257" t="e">
        <f t="shared" si="1604"/>
        <v>#REF!</v>
      </c>
      <c r="Q980" s="257" t="e">
        <f t="shared" si="1604"/>
        <v>#REF!</v>
      </c>
      <c r="R980" s="257" t="e">
        <f t="shared" si="1603"/>
        <v>#REF!</v>
      </c>
      <c r="S980" s="257" t="e">
        <f t="shared" si="1594"/>
        <v>#REF!</v>
      </c>
      <c r="T980" s="257" t="e">
        <f t="shared" si="1595"/>
        <v>#REF!</v>
      </c>
      <c r="U980" s="257" t="e">
        <f t="shared" si="1596"/>
        <v>#REF!</v>
      </c>
      <c r="V980" s="257" t="e">
        <f t="shared" si="1597"/>
        <v>#REF!</v>
      </c>
      <c r="W980" s="257" t="e">
        <f t="shared" si="1598"/>
        <v>#REF!</v>
      </c>
      <c r="X980" s="257" t="e">
        <f t="shared" si="1599"/>
        <v>#REF!</v>
      </c>
      <c r="Y980" s="257" t="e">
        <f t="shared" si="1600"/>
        <v>#REF!</v>
      </c>
      <c r="Z980" s="257" t="e">
        <f t="shared" si="1601"/>
        <v>#REF!</v>
      </c>
    </row>
    <row r="981" spans="1:26" ht="12.75" hidden="1" customHeight="1" x14ac:dyDescent="0.2">
      <c r="A981" s="259" t="s">
        <v>344</v>
      </c>
      <c r="B981" s="252" t="s">
        <v>50</v>
      </c>
      <c r="C981" s="252" t="s">
        <v>214</v>
      </c>
      <c r="D981" s="252" t="s">
        <v>194</v>
      </c>
      <c r="E981" s="380" t="s">
        <v>51</v>
      </c>
      <c r="F981" s="252"/>
      <c r="G981" s="257"/>
      <c r="H981" s="257"/>
      <c r="I981" s="257" t="e">
        <f>#REF!+G981</f>
        <v>#REF!</v>
      </c>
      <c r="J981" s="257" t="e">
        <f t="shared" si="1593"/>
        <v>#REF!</v>
      </c>
      <c r="K981" s="257" t="e">
        <f t="shared" si="1604"/>
        <v>#REF!</v>
      </c>
      <c r="L981" s="257" t="e">
        <f t="shared" si="1604"/>
        <v>#REF!</v>
      </c>
      <c r="M981" s="257" t="e">
        <f t="shared" si="1604"/>
        <v>#REF!</v>
      </c>
      <c r="N981" s="257" t="e">
        <f t="shared" si="1604"/>
        <v>#REF!</v>
      </c>
      <c r="O981" s="257" t="e">
        <f t="shared" si="1604"/>
        <v>#REF!</v>
      </c>
      <c r="P981" s="257" t="e">
        <f t="shared" si="1604"/>
        <v>#REF!</v>
      </c>
      <c r="Q981" s="257" t="e">
        <f t="shared" si="1604"/>
        <v>#REF!</v>
      </c>
      <c r="R981" s="257" t="e">
        <f t="shared" si="1603"/>
        <v>#REF!</v>
      </c>
      <c r="S981" s="257" t="e">
        <f t="shared" si="1594"/>
        <v>#REF!</v>
      </c>
      <c r="T981" s="257" t="e">
        <f t="shared" si="1595"/>
        <v>#REF!</v>
      </c>
      <c r="U981" s="257" t="e">
        <f t="shared" si="1596"/>
        <v>#REF!</v>
      </c>
      <c r="V981" s="257" t="e">
        <f t="shared" si="1597"/>
        <v>#REF!</v>
      </c>
      <c r="W981" s="257" t="e">
        <f t="shared" si="1598"/>
        <v>#REF!</v>
      </c>
      <c r="X981" s="257" t="e">
        <f t="shared" si="1599"/>
        <v>#REF!</v>
      </c>
      <c r="Y981" s="257" t="e">
        <f t="shared" si="1600"/>
        <v>#REF!</v>
      </c>
      <c r="Z981" s="257" t="e">
        <f t="shared" si="1601"/>
        <v>#REF!</v>
      </c>
    </row>
    <row r="982" spans="1:26" ht="38.25" hidden="1" customHeight="1" x14ac:dyDescent="0.2">
      <c r="A982" s="259" t="s">
        <v>54</v>
      </c>
      <c r="B982" s="252" t="s">
        <v>50</v>
      </c>
      <c r="C982" s="252" t="s">
        <v>214</v>
      </c>
      <c r="D982" s="252" t="s">
        <v>194</v>
      </c>
      <c r="E982" s="252" t="s">
        <v>53</v>
      </c>
      <c r="F982" s="252"/>
      <c r="G982" s="257"/>
      <c r="H982" s="257"/>
      <c r="I982" s="257" t="e">
        <f>#REF!+G982</f>
        <v>#REF!</v>
      </c>
      <c r="J982" s="257" t="e">
        <f t="shared" si="1593"/>
        <v>#REF!</v>
      </c>
      <c r="K982" s="257" t="e">
        <f t="shared" si="1604"/>
        <v>#REF!</v>
      </c>
      <c r="L982" s="257" t="e">
        <f t="shared" si="1604"/>
        <v>#REF!</v>
      </c>
      <c r="M982" s="257" t="e">
        <f t="shared" si="1604"/>
        <v>#REF!</v>
      </c>
      <c r="N982" s="257" t="e">
        <f t="shared" si="1604"/>
        <v>#REF!</v>
      </c>
      <c r="O982" s="257" t="e">
        <f t="shared" si="1604"/>
        <v>#REF!</v>
      </c>
      <c r="P982" s="257" t="e">
        <f t="shared" si="1604"/>
        <v>#REF!</v>
      </c>
      <c r="Q982" s="257" t="e">
        <f t="shared" si="1604"/>
        <v>#REF!</v>
      </c>
      <c r="R982" s="257" t="e">
        <f t="shared" si="1603"/>
        <v>#REF!</v>
      </c>
      <c r="S982" s="257" t="e">
        <f t="shared" si="1594"/>
        <v>#REF!</v>
      </c>
      <c r="T982" s="257" t="e">
        <f t="shared" si="1595"/>
        <v>#REF!</v>
      </c>
      <c r="U982" s="257" t="e">
        <f t="shared" si="1596"/>
        <v>#REF!</v>
      </c>
      <c r="V982" s="257" t="e">
        <f t="shared" si="1597"/>
        <v>#REF!</v>
      </c>
      <c r="W982" s="257" t="e">
        <f t="shared" si="1598"/>
        <v>#REF!</v>
      </c>
      <c r="X982" s="257" t="e">
        <f t="shared" si="1599"/>
        <v>#REF!</v>
      </c>
      <c r="Y982" s="257" t="e">
        <f t="shared" si="1600"/>
        <v>#REF!</v>
      </c>
      <c r="Z982" s="257" t="e">
        <f t="shared" si="1601"/>
        <v>#REF!</v>
      </c>
    </row>
    <row r="983" spans="1:26" ht="12.75" hidden="1" customHeight="1" x14ac:dyDescent="0.2">
      <c r="A983" s="259" t="s">
        <v>68</v>
      </c>
      <c r="B983" s="252" t="s">
        <v>50</v>
      </c>
      <c r="C983" s="252" t="s">
        <v>214</v>
      </c>
      <c r="D983" s="252" t="s">
        <v>194</v>
      </c>
      <c r="E983" s="252" t="s">
        <v>53</v>
      </c>
      <c r="F983" s="252" t="s">
        <v>69</v>
      </c>
      <c r="G983" s="257"/>
      <c r="H983" s="257"/>
      <c r="I983" s="257" t="e">
        <f>#REF!+G983</f>
        <v>#REF!</v>
      </c>
      <c r="J983" s="257" t="e">
        <f t="shared" si="1593"/>
        <v>#REF!</v>
      </c>
      <c r="K983" s="257" t="e">
        <f t="shared" si="1604"/>
        <v>#REF!</v>
      </c>
      <c r="L983" s="257" t="e">
        <f t="shared" si="1604"/>
        <v>#REF!</v>
      </c>
      <c r="M983" s="257" t="e">
        <f t="shared" si="1604"/>
        <v>#REF!</v>
      </c>
      <c r="N983" s="257" t="e">
        <f t="shared" si="1604"/>
        <v>#REF!</v>
      </c>
      <c r="O983" s="257" t="e">
        <f t="shared" si="1604"/>
        <v>#REF!</v>
      </c>
      <c r="P983" s="257" t="e">
        <f t="shared" si="1604"/>
        <v>#REF!</v>
      </c>
      <c r="Q983" s="257" t="e">
        <f t="shared" si="1604"/>
        <v>#REF!</v>
      </c>
      <c r="R983" s="257" t="e">
        <f t="shared" si="1603"/>
        <v>#REF!</v>
      </c>
      <c r="S983" s="257" t="e">
        <f t="shared" si="1594"/>
        <v>#REF!</v>
      </c>
      <c r="T983" s="257" t="e">
        <f t="shared" si="1595"/>
        <v>#REF!</v>
      </c>
      <c r="U983" s="257" t="e">
        <f t="shared" si="1596"/>
        <v>#REF!</v>
      </c>
      <c r="V983" s="257" t="e">
        <f t="shared" si="1597"/>
        <v>#REF!</v>
      </c>
      <c r="W983" s="257" t="e">
        <f t="shared" si="1598"/>
        <v>#REF!</v>
      </c>
      <c r="X983" s="257" t="e">
        <f t="shared" si="1599"/>
        <v>#REF!</v>
      </c>
      <c r="Y983" s="257" t="e">
        <f t="shared" si="1600"/>
        <v>#REF!</v>
      </c>
      <c r="Z983" s="257" t="e">
        <f t="shared" si="1601"/>
        <v>#REF!</v>
      </c>
    </row>
    <row r="984" spans="1:26" ht="12.75" hidden="1" customHeight="1" x14ac:dyDescent="0.2">
      <c r="A984" s="525" t="s">
        <v>55</v>
      </c>
      <c r="B984" s="526"/>
      <c r="C984" s="526"/>
      <c r="D984" s="526"/>
      <c r="E984" s="526"/>
      <c r="F984" s="526"/>
      <c r="G984" s="257"/>
      <c r="H984" s="257"/>
      <c r="I984" s="257" t="e">
        <f>#REF!+G984</f>
        <v>#REF!</v>
      </c>
      <c r="J984" s="257" t="e">
        <f t="shared" si="1593"/>
        <v>#REF!</v>
      </c>
      <c r="K984" s="257" t="e">
        <f t="shared" si="1604"/>
        <v>#REF!</v>
      </c>
      <c r="L984" s="257" t="e">
        <f t="shared" si="1604"/>
        <v>#REF!</v>
      </c>
      <c r="M984" s="257" t="e">
        <f t="shared" si="1604"/>
        <v>#REF!</v>
      </c>
      <c r="N984" s="257" t="e">
        <f t="shared" si="1604"/>
        <v>#REF!</v>
      </c>
      <c r="O984" s="257" t="e">
        <f t="shared" si="1604"/>
        <v>#REF!</v>
      </c>
      <c r="P984" s="257" t="e">
        <f t="shared" si="1604"/>
        <v>#REF!</v>
      </c>
      <c r="Q984" s="257" t="e">
        <f t="shared" si="1604"/>
        <v>#REF!</v>
      </c>
      <c r="R984" s="257" t="e">
        <f t="shared" si="1603"/>
        <v>#REF!</v>
      </c>
      <c r="S984" s="257" t="e">
        <f t="shared" si="1594"/>
        <v>#REF!</v>
      </c>
      <c r="T984" s="257" t="e">
        <f t="shared" si="1595"/>
        <v>#REF!</v>
      </c>
      <c r="U984" s="257" t="e">
        <f t="shared" si="1596"/>
        <v>#REF!</v>
      </c>
      <c r="V984" s="257" t="e">
        <f t="shared" si="1597"/>
        <v>#REF!</v>
      </c>
      <c r="W984" s="257" t="e">
        <f t="shared" si="1598"/>
        <v>#REF!</v>
      </c>
      <c r="X984" s="257" t="e">
        <f t="shared" si="1599"/>
        <v>#REF!</v>
      </c>
      <c r="Y984" s="257" t="e">
        <f t="shared" si="1600"/>
        <v>#REF!</v>
      </c>
      <c r="Z984" s="257" t="e">
        <f t="shared" si="1601"/>
        <v>#REF!</v>
      </c>
    </row>
    <row r="985" spans="1:26" ht="12.75" hidden="1" customHeight="1" x14ac:dyDescent="0.2">
      <c r="A985" s="462" t="s">
        <v>306</v>
      </c>
      <c r="B985" s="249">
        <v>813</v>
      </c>
      <c r="C985" s="365" t="s">
        <v>196</v>
      </c>
      <c r="D985" s="365"/>
      <c r="E985" s="365"/>
      <c r="F985" s="365"/>
      <c r="G985" s="257"/>
      <c r="H985" s="257"/>
      <c r="I985" s="257" t="e">
        <f>#REF!+G985</f>
        <v>#REF!</v>
      </c>
      <c r="J985" s="257" t="e">
        <f t="shared" si="1593"/>
        <v>#REF!</v>
      </c>
      <c r="K985" s="257" t="e">
        <f t="shared" si="1604"/>
        <v>#REF!</v>
      </c>
      <c r="L985" s="257" t="e">
        <f t="shared" si="1604"/>
        <v>#REF!</v>
      </c>
      <c r="M985" s="257" t="e">
        <f t="shared" si="1604"/>
        <v>#REF!</v>
      </c>
      <c r="N985" s="257" t="e">
        <f t="shared" si="1604"/>
        <v>#REF!</v>
      </c>
      <c r="O985" s="257" t="e">
        <f t="shared" si="1604"/>
        <v>#REF!</v>
      </c>
      <c r="P985" s="257" t="e">
        <f t="shared" si="1604"/>
        <v>#REF!</v>
      </c>
      <c r="Q985" s="257" t="e">
        <f t="shared" si="1604"/>
        <v>#REF!</v>
      </c>
      <c r="R985" s="257" t="e">
        <f t="shared" si="1603"/>
        <v>#REF!</v>
      </c>
      <c r="S985" s="257" t="e">
        <f t="shared" si="1594"/>
        <v>#REF!</v>
      </c>
      <c r="T985" s="257" t="e">
        <f t="shared" si="1595"/>
        <v>#REF!</v>
      </c>
      <c r="U985" s="257" t="e">
        <f t="shared" si="1596"/>
        <v>#REF!</v>
      </c>
      <c r="V985" s="257" t="e">
        <f t="shared" si="1597"/>
        <v>#REF!</v>
      </c>
      <c r="W985" s="257" t="e">
        <f t="shared" si="1598"/>
        <v>#REF!</v>
      </c>
      <c r="X985" s="257" t="e">
        <f t="shared" si="1599"/>
        <v>#REF!</v>
      </c>
      <c r="Y985" s="257" t="e">
        <f t="shared" si="1600"/>
        <v>#REF!</v>
      </c>
      <c r="Z985" s="257" t="e">
        <f t="shared" si="1601"/>
        <v>#REF!</v>
      </c>
    </row>
    <row r="986" spans="1:26" ht="12.75" hidden="1" customHeight="1" x14ac:dyDescent="0.2">
      <c r="A986" s="462" t="s">
        <v>220</v>
      </c>
      <c r="B986" s="249">
        <v>813</v>
      </c>
      <c r="C986" s="365" t="s">
        <v>196</v>
      </c>
      <c r="D986" s="365" t="s">
        <v>205</v>
      </c>
      <c r="E986" s="365"/>
      <c r="F986" s="365"/>
      <c r="G986" s="257"/>
      <c r="H986" s="257"/>
      <c r="I986" s="257" t="e">
        <f>#REF!+G986</f>
        <v>#REF!</v>
      </c>
      <c r="J986" s="257" t="e">
        <f t="shared" si="1593"/>
        <v>#REF!</v>
      </c>
      <c r="K986" s="257" t="e">
        <f t="shared" si="1604"/>
        <v>#REF!</v>
      </c>
      <c r="L986" s="257" t="e">
        <f t="shared" si="1604"/>
        <v>#REF!</v>
      </c>
      <c r="M986" s="257" t="e">
        <f t="shared" si="1604"/>
        <v>#REF!</v>
      </c>
      <c r="N986" s="257" t="e">
        <f t="shared" si="1604"/>
        <v>#REF!</v>
      </c>
      <c r="O986" s="257" t="e">
        <f t="shared" si="1604"/>
        <v>#REF!</v>
      </c>
      <c r="P986" s="257" t="e">
        <f t="shared" si="1604"/>
        <v>#REF!</v>
      </c>
      <c r="Q986" s="257" t="e">
        <f t="shared" si="1604"/>
        <v>#REF!</v>
      </c>
      <c r="R986" s="257" t="e">
        <f t="shared" si="1603"/>
        <v>#REF!</v>
      </c>
      <c r="S986" s="257" t="e">
        <f t="shared" si="1594"/>
        <v>#REF!</v>
      </c>
      <c r="T986" s="257" t="e">
        <f t="shared" si="1595"/>
        <v>#REF!</v>
      </c>
      <c r="U986" s="257" t="e">
        <f t="shared" si="1596"/>
        <v>#REF!</v>
      </c>
      <c r="V986" s="257" t="e">
        <f t="shared" si="1597"/>
        <v>#REF!</v>
      </c>
      <c r="W986" s="257" t="e">
        <f t="shared" si="1598"/>
        <v>#REF!</v>
      </c>
      <c r="X986" s="257" t="e">
        <f t="shared" si="1599"/>
        <v>#REF!</v>
      </c>
      <c r="Y986" s="257" t="e">
        <f t="shared" si="1600"/>
        <v>#REF!</v>
      </c>
      <c r="Z986" s="257" t="e">
        <f t="shared" si="1601"/>
        <v>#REF!</v>
      </c>
    </row>
    <row r="987" spans="1:26" ht="38.25" hidden="1" customHeight="1" x14ac:dyDescent="0.2">
      <c r="A987" s="259" t="s">
        <v>331</v>
      </c>
      <c r="B987" s="271">
        <v>813</v>
      </c>
      <c r="C987" s="260" t="s">
        <v>196</v>
      </c>
      <c r="D987" s="260" t="s">
        <v>205</v>
      </c>
      <c r="E987" s="260" t="s">
        <v>332</v>
      </c>
      <c r="F987" s="252"/>
      <c r="G987" s="257"/>
      <c r="H987" s="257"/>
      <c r="I987" s="257" t="e">
        <f>#REF!+G987</f>
        <v>#REF!</v>
      </c>
      <c r="J987" s="257" t="e">
        <f t="shared" si="1593"/>
        <v>#REF!</v>
      </c>
      <c r="K987" s="257" t="e">
        <f t="shared" si="1604"/>
        <v>#REF!</v>
      </c>
      <c r="L987" s="257" t="e">
        <f t="shared" si="1604"/>
        <v>#REF!</v>
      </c>
      <c r="M987" s="257" t="e">
        <f t="shared" si="1604"/>
        <v>#REF!</v>
      </c>
      <c r="N987" s="257" t="e">
        <f t="shared" si="1604"/>
        <v>#REF!</v>
      </c>
      <c r="O987" s="257" t="e">
        <f t="shared" si="1604"/>
        <v>#REF!</v>
      </c>
      <c r="P987" s="257" t="e">
        <f t="shared" si="1604"/>
        <v>#REF!</v>
      </c>
      <c r="Q987" s="257" t="e">
        <f t="shared" si="1604"/>
        <v>#REF!</v>
      </c>
      <c r="R987" s="257" t="e">
        <f t="shared" si="1603"/>
        <v>#REF!</v>
      </c>
      <c r="S987" s="257" t="e">
        <f t="shared" si="1594"/>
        <v>#REF!</v>
      </c>
      <c r="T987" s="257" t="e">
        <f t="shared" si="1595"/>
        <v>#REF!</v>
      </c>
      <c r="U987" s="257" t="e">
        <f t="shared" si="1596"/>
        <v>#REF!</v>
      </c>
      <c r="V987" s="257" t="e">
        <f t="shared" si="1597"/>
        <v>#REF!</v>
      </c>
      <c r="W987" s="257" t="e">
        <f t="shared" si="1598"/>
        <v>#REF!</v>
      </c>
      <c r="X987" s="257" t="e">
        <f t="shared" si="1599"/>
        <v>#REF!</v>
      </c>
      <c r="Y987" s="257" t="e">
        <f t="shared" si="1600"/>
        <v>#REF!</v>
      </c>
      <c r="Z987" s="257" t="e">
        <f t="shared" si="1601"/>
        <v>#REF!</v>
      </c>
    </row>
    <row r="988" spans="1:26" ht="12.75" hidden="1" customHeight="1" x14ac:dyDescent="0.2">
      <c r="A988" s="259" t="s">
        <v>333</v>
      </c>
      <c r="B988" s="271">
        <v>813</v>
      </c>
      <c r="C988" s="260" t="s">
        <v>196</v>
      </c>
      <c r="D988" s="260" t="s">
        <v>205</v>
      </c>
      <c r="E988" s="260" t="s">
        <v>334</v>
      </c>
      <c r="F988" s="252"/>
      <c r="G988" s="257"/>
      <c r="H988" s="257"/>
      <c r="I988" s="257" t="e">
        <f>#REF!+G988</f>
        <v>#REF!</v>
      </c>
      <c r="J988" s="257" t="e">
        <f t="shared" si="1593"/>
        <v>#REF!</v>
      </c>
      <c r="K988" s="257" t="e">
        <f t="shared" si="1604"/>
        <v>#REF!</v>
      </c>
      <c r="L988" s="257" t="e">
        <f t="shared" si="1604"/>
        <v>#REF!</v>
      </c>
      <c r="M988" s="257" t="e">
        <f t="shared" si="1604"/>
        <v>#REF!</v>
      </c>
      <c r="N988" s="257" t="e">
        <f t="shared" si="1604"/>
        <v>#REF!</v>
      </c>
      <c r="O988" s="257" t="e">
        <f t="shared" si="1604"/>
        <v>#REF!</v>
      </c>
      <c r="P988" s="257" t="e">
        <f t="shared" si="1604"/>
        <v>#REF!</v>
      </c>
      <c r="Q988" s="257" t="e">
        <f t="shared" si="1604"/>
        <v>#REF!</v>
      </c>
      <c r="R988" s="257" t="e">
        <f t="shared" si="1603"/>
        <v>#REF!</v>
      </c>
      <c r="S988" s="257" t="e">
        <f t="shared" si="1594"/>
        <v>#REF!</v>
      </c>
      <c r="T988" s="257" t="e">
        <f t="shared" si="1595"/>
        <v>#REF!</v>
      </c>
      <c r="U988" s="257" t="e">
        <f t="shared" si="1596"/>
        <v>#REF!</v>
      </c>
      <c r="V988" s="257" t="e">
        <f t="shared" si="1597"/>
        <v>#REF!</v>
      </c>
      <c r="W988" s="257" t="e">
        <f t="shared" si="1598"/>
        <v>#REF!</v>
      </c>
      <c r="X988" s="257" t="e">
        <f t="shared" si="1599"/>
        <v>#REF!</v>
      </c>
      <c r="Y988" s="257" t="e">
        <f t="shared" si="1600"/>
        <v>#REF!</v>
      </c>
      <c r="Z988" s="257" t="e">
        <f t="shared" si="1601"/>
        <v>#REF!</v>
      </c>
    </row>
    <row r="989" spans="1:26" ht="12.75" hidden="1" customHeight="1" x14ac:dyDescent="0.2">
      <c r="A989" s="259" t="s">
        <v>320</v>
      </c>
      <c r="B989" s="271">
        <v>813</v>
      </c>
      <c r="C989" s="260" t="s">
        <v>196</v>
      </c>
      <c r="D989" s="260" t="s">
        <v>205</v>
      </c>
      <c r="E989" s="260" t="s">
        <v>334</v>
      </c>
      <c r="F989" s="252" t="s">
        <v>321</v>
      </c>
      <c r="G989" s="257"/>
      <c r="H989" s="257"/>
      <c r="I989" s="257" t="e">
        <f>#REF!+G989</f>
        <v>#REF!</v>
      </c>
      <c r="J989" s="257" t="e">
        <f t="shared" si="1593"/>
        <v>#REF!</v>
      </c>
      <c r="K989" s="257" t="e">
        <f t="shared" si="1604"/>
        <v>#REF!</v>
      </c>
      <c r="L989" s="257" t="e">
        <f t="shared" si="1604"/>
        <v>#REF!</v>
      </c>
      <c r="M989" s="257" t="e">
        <f t="shared" si="1604"/>
        <v>#REF!</v>
      </c>
      <c r="N989" s="257" t="e">
        <f t="shared" si="1604"/>
        <v>#REF!</v>
      </c>
      <c r="O989" s="257" t="e">
        <f t="shared" si="1604"/>
        <v>#REF!</v>
      </c>
      <c r="P989" s="257" t="e">
        <f t="shared" si="1604"/>
        <v>#REF!</v>
      </c>
      <c r="Q989" s="257" t="e">
        <f t="shared" si="1604"/>
        <v>#REF!</v>
      </c>
      <c r="R989" s="257" t="e">
        <f t="shared" si="1603"/>
        <v>#REF!</v>
      </c>
      <c r="S989" s="257" t="e">
        <f t="shared" si="1594"/>
        <v>#REF!</v>
      </c>
      <c r="T989" s="257" t="e">
        <f t="shared" si="1595"/>
        <v>#REF!</v>
      </c>
      <c r="U989" s="257" t="e">
        <f t="shared" si="1596"/>
        <v>#REF!</v>
      </c>
      <c r="V989" s="257" t="e">
        <f t="shared" si="1597"/>
        <v>#REF!</v>
      </c>
      <c r="W989" s="257" t="e">
        <f t="shared" si="1598"/>
        <v>#REF!</v>
      </c>
      <c r="X989" s="257" t="e">
        <f t="shared" si="1599"/>
        <v>#REF!</v>
      </c>
      <c r="Y989" s="257" t="e">
        <f t="shared" si="1600"/>
        <v>#REF!</v>
      </c>
      <c r="Z989" s="257" t="e">
        <f t="shared" si="1601"/>
        <v>#REF!</v>
      </c>
    </row>
    <row r="990" spans="1:26" ht="12.75" hidden="1" customHeight="1" x14ac:dyDescent="0.2">
      <c r="A990" s="259" t="s">
        <v>302</v>
      </c>
      <c r="B990" s="271">
        <v>813</v>
      </c>
      <c r="C990" s="260" t="s">
        <v>196</v>
      </c>
      <c r="D990" s="260" t="s">
        <v>205</v>
      </c>
      <c r="E990" s="260" t="s">
        <v>334</v>
      </c>
      <c r="F990" s="252" t="s">
        <v>303</v>
      </c>
      <c r="G990" s="257"/>
      <c r="H990" s="257"/>
      <c r="I990" s="257" t="e">
        <f>#REF!+G990</f>
        <v>#REF!</v>
      </c>
      <c r="J990" s="257" t="e">
        <f t="shared" si="1593"/>
        <v>#REF!</v>
      </c>
      <c r="K990" s="257" t="e">
        <f t="shared" si="1604"/>
        <v>#REF!</v>
      </c>
      <c r="L990" s="257" t="e">
        <f t="shared" si="1604"/>
        <v>#REF!</v>
      </c>
      <c r="M990" s="257" t="e">
        <f t="shared" si="1604"/>
        <v>#REF!</v>
      </c>
      <c r="N990" s="257" t="e">
        <f t="shared" si="1604"/>
        <v>#REF!</v>
      </c>
      <c r="O990" s="257" t="e">
        <f t="shared" si="1604"/>
        <v>#REF!</v>
      </c>
      <c r="P990" s="257" t="e">
        <f t="shared" si="1604"/>
        <v>#REF!</v>
      </c>
      <c r="Q990" s="257" t="e">
        <f t="shared" si="1604"/>
        <v>#REF!</v>
      </c>
      <c r="R990" s="257" t="e">
        <f t="shared" si="1603"/>
        <v>#REF!</v>
      </c>
      <c r="S990" s="257" t="e">
        <f t="shared" si="1594"/>
        <v>#REF!</v>
      </c>
      <c r="T990" s="257" t="e">
        <f t="shared" si="1595"/>
        <v>#REF!</v>
      </c>
      <c r="U990" s="257" t="e">
        <f t="shared" si="1596"/>
        <v>#REF!</v>
      </c>
      <c r="V990" s="257" t="e">
        <f t="shared" si="1597"/>
        <v>#REF!</v>
      </c>
      <c r="W990" s="257" t="e">
        <f t="shared" si="1598"/>
        <v>#REF!</v>
      </c>
      <c r="X990" s="257" t="e">
        <f t="shared" si="1599"/>
        <v>#REF!</v>
      </c>
      <c r="Y990" s="257" t="e">
        <f t="shared" si="1600"/>
        <v>#REF!</v>
      </c>
      <c r="Z990" s="257" t="e">
        <f t="shared" si="1601"/>
        <v>#REF!</v>
      </c>
    </row>
    <row r="991" spans="1:26" ht="12.75" hidden="1" customHeight="1" x14ac:dyDescent="0.2">
      <c r="A991" s="259" t="s">
        <v>324</v>
      </c>
      <c r="B991" s="271">
        <v>813</v>
      </c>
      <c r="C991" s="260" t="s">
        <v>196</v>
      </c>
      <c r="D991" s="260" t="s">
        <v>205</v>
      </c>
      <c r="E991" s="260" t="s">
        <v>325</v>
      </c>
      <c r="F991" s="260"/>
      <c r="G991" s="257"/>
      <c r="H991" s="257"/>
      <c r="I991" s="257" t="e">
        <f>#REF!+G991</f>
        <v>#REF!</v>
      </c>
      <c r="J991" s="257" t="e">
        <f t="shared" si="1593"/>
        <v>#REF!</v>
      </c>
      <c r="K991" s="257" t="e">
        <f t="shared" si="1604"/>
        <v>#REF!</v>
      </c>
      <c r="L991" s="257" t="e">
        <f t="shared" si="1604"/>
        <v>#REF!</v>
      </c>
      <c r="M991" s="257" t="e">
        <f t="shared" si="1604"/>
        <v>#REF!</v>
      </c>
      <c r="N991" s="257" t="e">
        <f t="shared" si="1604"/>
        <v>#REF!</v>
      </c>
      <c r="O991" s="257" t="e">
        <f t="shared" si="1604"/>
        <v>#REF!</v>
      </c>
      <c r="P991" s="257" t="e">
        <f t="shared" si="1604"/>
        <v>#REF!</v>
      </c>
      <c r="Q991" s="257" t="e">
        <f t="shared" si="1604"/>
        <v>#REF!</v>
      </c>
      <c r="R991" s="257" t="e">
        <f t="shared" si="1603"/>
        <v>#REF!</v>
      </c>
      <c r="S991" s="257" t="e">
        <f t="shared" si="1594"/>
        <v>#REF!</v>
      </c>
      <c r="T991" s="257" t="e">
        <f t="shared" si="1595"/>
        <v>#REF!</v>
      </c>
      <c r="U991" s="257" t="e">
        <f t="shared" si="1596"/>
        <v>#REF!</v>
      </c>
      <c r="V991" s="257" t="e">
        <f t="shared" si="1597"/>
        <v>#REF!</v>
      </c>
      <c r="W991" s="257" t="e">
        <f t="shared" si="1598"/>
        <v>#REF!</v>
      </c>
      <c r="X991" s="257" t="e">
        <f t="shared" si="1599"/>
        <v>#REF!</v>
      </c>
      <c r="Y991" s="257" t="e">
        <f t="shared" si="1600"/>
        <v>#REF!</v>
      </c>
      <c r="Z991" s="257" t="e">
        <f t="shared" si="1601"/>
        <v>#REF!</v>
      </c>
    </row>
    <row r="992" spans="1:26" ht="12.75" hidden="1" customHeight="1" x14ac:dyDescent="0.2">
      <c r="A992" s="462" t="s">
        <v>362</v>
      </c>
      <c r="B992" s="249">
        <v>813</v>
      </c>
      <c r="C992" s="250" t="s">
        <v>212</v>
      </c>
      <c r="D992" s="250"/>
      <c r="E992" s="250"/>
      <c r="F992" s="250"/>
      <c r="G992" s="257"/>
      <c r="H992" s="257"/>
      <c r="I992" s="257" t="e">
        <f>#REF!+G992</f>
        <v>#REF!</v>
      </c>
      <c r="J992" s="257" t="e">
        <f t="shared" si="1593"/>
        <v>#REF!</v>
      </c>
      <c r="K992" s="257" t="e">
        <f t="shared" si="1604"/>
        <v>#REF!</v>
      </c>
      <c r="L992" s="257" t="e">
        <f t="shared" si="1604"/>
        <v>#REF!</v>
      </c>
      <c r="M992" s="257" t="e">
        <f t="shared" si="1604"/>
        <v>#REF!</v>
      </c>
      <c r="N992" s="257" t="e">
        <f t="shared" si="1604"/>
        <v>#REF!</v>
      </c>
      <c r="O992" s="257" t="e">
        <f t="shared" si="1604"/>
        <v>#REF!</v>
      </c>
      <c r="P992" s="257" t="e">
        <f t="shared" si="1604"/>
        <v>#REF!</v>
      </c>
      <c r="Q992" s="257" t="e">
        <f t="shared" si="1604"/>
        <v>#REF!</v>
      </c>
      <c r="R992" s="257" t="e">
        <f t="shared" si="1603"/>
        <v>#REF!</v>
      </c>
      <c r="S992" s="257" t="e">
        <f t="shared" si="1594"/>
        <v>#REF!</v>
      </c>
      <c r="T992" s="257" t="e">
        <f t="shared" si="1595"/>
        <v>#REF!</v>
      </c>
      <c r="U992" s="257" t="e">
        <f t="shared" si="1596"/>
        <v>#REF!</v>
      </c>
      <c r="V992" s="257" t="e">
        <f t="shared" si="1597"/>
        <v>#REF!</v>
      </c>
      <c r="W992" s="257" t="e">
        <f t="shared" si="1598"/>
        <v>#REF!</v>
      </c>
      <c r="X992" s="257" t="e">
        <f t="shared" si="1599"/>
        <v>#REF!</v>
      </c>
      <c r="Y992" s="257" t="e">
        <f t="shared" si="1600"/>
        <v>#REF!</v>
      </c>
      <c r="Z992" s="257" t="e">
        <f t="shared" si="1601"/>
        <v>#REF!</v>
      </c>
    </row>
    <row r="993" spans="1:26" ht="25.5" hidden="1" customHeight="1" x14ac:dyDescent="0.2">
      <c r="A993" s="462" t="s">
        <v>273</v>
      </c>
      <c r="B993" s="249">
        <v>813</v>
      </c>
      <c r="C993" s="250" t="s">
        <v>212</v>
      </c>
      <c r="D993" s="250">
        <v>10</v>
      </c>
      <c r="E993" s="250"/>
      <c r="F993" s="250"/>
      <c r="G993" s="257"/>
      <c r="H993" s="257"/>
      <c r="I993" s="257" t="e">
        <f>#REF!+G993</f>
        <v>#REF!</v>
      </c>
      <c r="J993" s="257" t="e">
        <f t="shared" si="1593"/>
        <v>#REF!</v>
      </c>
      <c r="K993" s="257" t="e">
        <f t="shared" si="1604"/>
        <v>#REF!</v>
      </c>
      <c r="L993" s="257" t="e">
        <f t="shared" si="1604"/>
        <v>#REF!</v>
      </c>
      <c r="M993" s="257" t="e">
        <f t="shared" si="1604"/>
        <v>#REF!</v>
      </c>
      <c r="N993" s="257" t="e">
        <f t="shared" si="1604"/>
        <v>#REF!</v>
      </c>
      <c r="O993" s="257" t="e">
        <f t="shared" si="1604"/>
        <v>#REF!</v>
      </c>
      <c r="P993" s="257" t="e">
        <f t="shared" si="1604"/>
        <v>#REF!</v>
      </c>
      <c r="Q993" s="257" t="e">
        <f t="shared" si="1604"/>
        <v>#REF!</v>
      </c>
      <c r="R993" s="257" t="e">
        <f t="shared" si="1603"/>
        <v>#REF!</v>
      </c>
      <c r="S993" s="257" t="e">
        <f t="shared" si="1594"/>
        <v>#REF!</v>
      </c>
      <c r="T993" s="257" t="e">
        <f t="shared" si="1595"/>
        <v>#REF!</v>
      </c>
      <c r="U993" s="257" t="e">
        <f t="shared" si="1596"/>
        <v>#REF!</v>
      </c>
      <c r="V993" s="257" t="e">
        <f t="shared" si="1597"/>
        <v>#REF!</v>
      </c>
      <c r="W993" s="257" t="e">
        <f t="shared" si="1598"/>
        <v>#REF!</v>
      </c>
      <c r="X993" s="257" t="e">
        <f t="shared" si="1599"/>
        <v>#REF!</v>
      </c>
      <c r="Y993" s="257" t="e">
        <f t="shared" si="1600"/>
        <v>#REF!</v>
      </c>
      <c r="Z993" s="257" t="e">
        <f t="shared" si="1601"/>
        <v>#REF!</v>
      </c>
    </row>
    <row r="994" spans="1:26" ht="38.25" hidden="1" customHeight="1" x14ac:dyDescent="0.2">
      <c r="A994" s="259" t="s">
        <v>331</v>
      </c>
      <c r="B994" s="271">
        <v>813</v>
      </c>
      <c r="C994" s="252" t="s">
        <v>212</v>
      </c>
      <c r="D994" s="252">
        <v>10</v>
      </c>
      <c r="E994" s="260" t="s">
        <v>332</v>
      </c>
      <c r="F994" s="252"/>
      <c r="G994" s="257"/>
      <c r="H994" s="257"/>
      <c r="I994" s="257" t="e">
        <f>#REF!+G994</f>
        <v>#REF!</v>
      </c>
      <c r="J994" s="257" t="e">
        <f t="shared" si="1593"/>
        <v>#REF!</v>
      </c>
      <c r="K994" s="257" t="e">
        <f t="shared" si="1604"/>
        <v>#REF!</v>
      </c>
      <c r="L994" s="257" t="e">
        <f t="shared" si="1604"/>
        <v>#REF!</v>
      </c>
      <c r="M994" s="257" t="e">
        <f t="shared" si="1604"/>
        <v>#REF!</v>
      </c>
      <c r="N994" s="257" t="e">
        <f t="shared" si="1604"/>
        <v>#REF!</v>
      </c>
      <c r="O994" s="257" t="e">
        <f t="shared" si="1604"/>
        <v>#REF!</v>
      </c>
      <c r="P994" s="257" t="e">
        <f t="shared" si="1604"/>
        <v>#REF!</v>
      </c>
      <c r="Q994" s="257" t="e">
        <f t="shared" si="1604"/>
        <v>#REF!</v>
      </c>
      <c r="R994" s="257" t="e">
        <f t="shared" si="1603"/>
        <v>#REF!</v>
      </c>
      <c r="S994" s="257" t="e">
        <f t="shared" si="1594"/>
        <v>#REF!</v>
      </c>
      <c r="T994" s="257" t="e">
        <f t="shared" si="1595"/>
        <v>#REF!</v>
      </c>
      <c r="U994" s="257" t="e">
        <f t="shared" si="1596"/>
        <v>#REF!</v>
      </c>
      <c r="V994" s="257" t="e">
        <f t="shared" si="1597"/>
        <v>#REF!</v>
      </c>
      <c r="W994" s="257" t="e">
        <f t="shared" si="1598"/>
        <v>#REF!</v>
      </c>
      <c r="X994" s="257" t="e">
        <f t="shared" si="1599"/>
        <v>#REF!</v>
      </c>
      <c r="Y994" s="257" t="e">
        <f t="shared" si="1600"/>
        <v>#REF!</v>
      </c>
      <c r="Z994" s="257" t="e">
        <f t="shared" si="1601"/>
        <v>#REF!</v>
      </c>
    </row>
    <row r="995" spans="1:26" ht="12.75" hidden="1" customHeight="1" x14ac:dyDescent="0.2">
      <c r="A995" s="259" t="s">
        <v>333</v>
      </c>
      <c r="B995" s="271">
        <v>813</v>
      </c>
      <c r="C995" s="252" t="s">
        <v>212</v>
      </c>
      <c r="D995" s="252">
        <v>10</v>
      </c>
      <c r="E995" s="260" t="s">
        <v>334</v>
      </c>
      <c r="F995" s="252"/>
      <c r="G995" s="257"/>
      <c r="H995" s="257"/>
      <c r="I995" s="257" t="e">
        <f>#REF!+G995</f>
        <v>#REF!</v>
      </c>
      <c r="J995" s="257" t="e">
        <f t="shared" si="1593"/>
        <v>#REF!</v>
      </c>
      <c r="K995" s="257" t="e">
        <f t="shared" si="1604"/>
        <v>#REF!</v>
      </c>
      <c r="L995" s="257" t="e">
        <f t="shared" si="1604"/>
        <v>#REF!</v>
      </c>
      <c r="M995" s="257" t="e">
        <f t="shared" si="1604"/>
        <v>#REF!</v>
      </c>
      <c r="N995" s="257" t="e">
        <f t="shared" si="1604"/>
        <v>#REF!</v>
      </c>
      <c r="O995" s="257" t="e">
        <f t="shared" si="1604"/>
        <v>#REF!</v>
      </c>
      <c r="P995" s="257" t="e">
        <f t="shared" si="1604"/>
        <v>#REF!</v>
      </c>
      <c r="Q995" s="257" t="e">
        <f t="shared" si="1604"/>
        <v>#REF!</v>
      </c>
      <c r="R995" s="257" t="e">
        <f t="shared" si="1603"/>
        <v>#REF!</v>
      </c>
      <c r="S995" s="257" t="e">
        <f t="shared" si="1594"/>
        <v>#REF!</v>
      </c>
      <c r="T995" s="257" t="e">
        <f t="shared" si="1595"/>
        <v>#REF!</v>
      </c>
      <c r="U995" s="257" t="e">
        <f t="shared" si="1596"/>
        <v>#REF!</v>
      </c>
      <c r="V995" s="257" t="e">
        <f t="shared" si="1597"/>
        <v>#REF!</v>
      </c>
      <c r="W995" s="257" t="e">
        <f t="shared" si="1598"/>
        <v>#REF!</v>
      </c>
      <c r="X995" s="257" t="e">
        <f t="shared" si="1599"/>
        <v>#REF!</v>
      </c>
      <c r="Y995" s="257" t="e">
        <f t="shared" si="1600"/>
        <v>#REF!</v>
      </c>
      <c r="Z995" s="257" t="e">
        <f t="shared" si="1601"/>
        <v>#REF!</v>
      </c>
    </row>
    <row r="996" spans="1:26" ht="12.75" hidden="1" customHeight="1" x14ac:dyDescent="0.2">
      <c r="A996" s="259" t="s">
        <v>320</v>
      </c>
      <c r="B996" s="271">
        <v>813</v>
      </c>
      <c r="C996" s="252" t="s">
        <v>212</v>
      </c>
      <c r="D996" s="252">
        <v>10</v>
      </c>
      <c r="E996" s="260" t="s">
        <v>334</v>
      </c>
      <c r="F996" s="252" t="s">
        <v>321</v>
      </c>
      <c r="G996" s="257"/>
      <c r="H996" s="257"/>
      <c r="I996" s="257" t="e">
        <f>#REF!+G996</f>
        <v>#REF!</v>
      </c>
      <c r="J996" s="257" t="e">
        <f t="shared" si="1593"/>
        <v>#REF!</v>
      </c>
      <c r="K996" s="257" t="e">
        <f t="shared" si="1604"/>
        <v>#REF!</v>
      </c>
      <c r="L996" s="257" t="e">
        <f t="shared" si="1604"/>
        <v>#REF!</v>
      </c>
      <c r="M996" s="257" t="e">
        <f t="shared" si="1604"/>
        <v>#REF!</v>
      </c>
      <c r="N996" s="257" t="e">
        <f t="shared" si="1604"/>
        <v>#REF!</v>
      </c>
      <c r="O996" s="257" t="e">
        <f t="shared" si="1604"/>
        <v>#REF!</v>
      </c>
      <c r="P996" s="257" t="e">
        <f t="shared" si="1604"/>
        <v>#REF!</v>
      </c>
      <c r="Q996" s="257" t="e">
        <f t="shared" si="1604"/>
        <v>#REF!</v>
      </c>
      <c r="R996" s="257" t="e">
        <f t="shared" si="1603"/>
        <v>#REF!</v>
      </c>
      <c r="S996" s="257" t="e">
        <f t="shared" si="1594"/>
        <v>#REF!</v>
      </c>
      <c r="T996" s="257" t="e">
        <f t="shared" si="1595"/>
        <v>#REF!</v>
      </c>
      <c r="U996" s="257" t="e">
        <f t="shared" si="1596"/>
        <v>#REF!</v>
      </c>
      <c r="V996" s="257" t="e">
        <f t="shared" si="1597"/>
        <v>#REF!</v>
      </c>
      <c r="W996" s="257" t="e">
        <f t="shared" si="1598"/>
        <v>#REF!</v>
      </c>
      <c r="X996" s="257" t="e">
        <f t="shared" si="1599"/>
        <v>#REF!</v>
      </c>
      <c r="Y996" s="257" t="e">
        <f t="shared" si="1600"/>
        <v>#REF!</v>
      </c>
      <c r="Z996" s="257" t="e">
        <f t="shared" si="1601"/>
        <v>#REF!</v>
      </c>
    </row>
    <row r="997" spans="1:26" ht="12.75" hidden="1" customHeight="1" x14ac:dyDescent="0.2">
      <c r="A997" s="259" t="s">
        <v>302</v>
      </c>
      <c r="B997" s="271">
        <v>813</v>
      </c>
      <c r="C997" s="252" t="s">
        <v>212</v>
      </c>
      <c r="D997" s="252">
        <v>10</v>
      </c>
      <c r="E997" s="260" t="s">
        <v>334</v>
      </c>
      <c r="F997" s="252" t="s">
        <v>303</v>
      </c>
      <c r="G997" s="257"/>
      <c r="H997" s="257"/>
      <c r="I997" s="257" t="e">
        <f>#REF!+G997</f>
        <v>#REF!</v>
      </c>
      <c r="J997" s="257" t="e">
        <f t="shared" si="1593"/>
        <v>#REF!</v>
      </c>
      <c r="K997" s="257" t="e">
        <f t="shared" si="1604"/>
        <v>#REF!</v>
      </c>
      <c r="L997" s="257" t="e">
        <f t="shared" si="1604"/>
        <v>#REF!</v>
      </c>
      <c r="M997" s="257" t="e">
        <f t="shared" si="1604"/>
        <v>#REF!</v>
      </c>
      <c r="N997" s="257" t="e">
        <f t="shared" si="1604"/>
        <v>#REF!</v>
      </c>
      <c r="O997" s="257" t="e">
        <f t="shared" si="1604"/>
        <v>#REF!</v>
      </c>
      <c r="P997" s="257" t="e">
        <f t="shared" si="1604"/>
        <v>#REF!</v>
      </c>
      <c r="Q997" s="257" t="e">
        <f t="shared" si="1604"/>
        <v>#REF!</v>
      </c>
      <c r="R997" s="257" t="e">
        <f t="shared" si="1603"/>
        <v>#REF!</v>
      </c>
      <c r="S997" s="257" t="e">
        <f t="shared" si="1594"/>
        <v>#REF!</v>
      </c>
      <c r="T997" s="257" t="e">
        <f t="shared" si="1595"/>
        <v>#REF!</v>
      </c>
      <c r="U997" s="257" t="e">
        <f t="shared" si="1596"/>
        <v>#REF!</v>
      </c>
      <c r="V997" s="257" t="e">
        <f t="shared" si="1597"/>
        <v>#REF!</v>
      </c>
      <c r="W997" s="257" t="e">
        <f t="shared" si="1598"/>
        <v>#REF!</v>
      </c>
      <c r="X997" s="257" t="e">
        <f t="shared" si="1599"/>
        <v>#REF!</v>
      </c>
      <c r="Y997" s="257" t="e">
        <f t="shared" si="1600"/>
        <v>#REF!</v>
      </c>
      <c r="Z997" s="257" t="e">
        <f t="shared" si="1601"/>
        <v>#REF!</v>
      </c>
    </row>
    <row r="998" spans="1:26" ht="12.75" hidden="1" customHeight="1" x14ac:dyDescent="0.2">
      <c r="A998" s="525" t="s">
        <v>56</v>
      </c>
      <c r="B998" s="526"/>
      <c r="C998" s="526"/>
      <c r="D998" s="526"/>
      <c r="E998" s="526"/>
      <c r="F998" s="526"/>
      <c r="G998" s="257"/>
      <c r="H998" s="257"/>
      <c r="I998" s="257" t="e">
        <f>#REF!+G998</f>
        <v>#REF!</v>
      </c>
      <c r="J998" s="257" t="e">
        <f t="shared" si="1593"/>
        <v>#REF!</v>
      </c>
      <c r="K998" s="257" t="e">
        <f t="shared" si="1604"/>
        <v>#REF!</v>
      </c>
      <c r="L998" s="257" t="e">
        <f t="shared" si="1604"/>
        <v>#REF!</v>
      </c>
      <c r="M998" s="257" t="e">
        <f t="shared" si="1604"/>
        <v>#REF!</v>
      </c>
      <c r="N998" s="257" t="e">
        <f t="shared" si="1604"/>
        <v>#REF!</v>
      </c>
      <c r="O998" s="257" t="e">
        <f t="shared" si="1604"/>
        <v>#REF!</v>
      </c>
      <c r="P998" s="257" t="e">
        <f t="shared" si="1604"/>
        <v>#REF!</v>
      </c>
      <c r="Q998" s="257" t="e">
        <f t="shared" si="1604"/>
        <v>#REF!</v>
      </c>
      <c r="R998" s="257" t="e">
        <f t="shared" si="1603"/>
        <v>#REF!</v>
      </c>
      <c r="S998" s="257" t="e">
        <f t="shared" si="1594"/>
        <v>#REF!</v>
      </c>
      <c r="T998" s="257" t="e">
        <f t="shared" si="1595"/>
        <v>#REF!</v>
      </c>
      <c r="U998" s="257" t="e">
        <f t="shared" si="1596"/>
        <v>#REF!</v>
      </c>
      <c r="V998" s="257" t="e">
        <f t="shared" si="1597"/>
        <v>#REF!</v>
      </c>
      <c r="W998" s="257" t="e">
        <f t="shared" si="1598"/>
        <v>#REF!</v>
      </c>
      <c r="X998" s="257" t="e">
        <f t="shared" si="1599"/>
        <v>#REF!</v>
      </c>
      <c r="Y998" s="257" t="e">
        <f t="shared" si="1600"/>
        <v>#REF!</v>
      </c>
      <c r="Z998" s="257" t="e">
        <f t="shared" si="1601"/>
        <v>#REF!</v>
      </c>
    </row>
    <row r="999" spans="1:26" ht="12.75" hidden="1" customHeight="1" x14ac:dyDescent="0.2">
      <c r="A999" s="462" t="s">
        <v>72</v>
      </c>
      <c r="B999" s="250" t="s">
        <v>57</v>
      </c>
      <c r="C999" s="250" t="s">
        <v>190</v>
      </c>
      <c r="D999" s="250"/>
      <c r="E999" s="250"/>
      <c r="F999" s="250"/>
      <c r="G999" s="257"/>
      <c r="H999" s="257"/>
      <c r="I999" s="257" t="e">
        <f>#REF!+G999</f>
        <v>#REF!</v>
      </c>
      <c r="J999" s="257" t="e">
        <f t="shared" si="1593"/>
        <v>#REF!</v>
      </c>
      <c r="K999" s="257" t="e">
        <f t="shared" si="1604"/>
        <v>#REF!</v>
      </c>
      <c r="L999" s="257" t="e">
        <f t="shared" si="1604"/>
        <v>#REF!</v>
      </c>
      <c r="M999" s="257" t="e">
        <f t="shared" si="1604"/>
        <v>#REF!</v>
      </c>
      <c r="N999" s="257" t="e">
        <f t="shared" si="1604"/>
        <v>#REF!</v>
      </c>
      <c r="O999" s="257" t="e">
        <f t="shared" si="1604"/>
        <v>#REF!</v>
      </c>
      <c r="P999" s="257" t="e">
        <f t="shared" si="1604"/>
        <v>#REF!</v>
      </c>
      <c r="Q999" s="257" t="e">
        <f t="shared" si="1604"/>
        <v>#REF!</v>
      </c>
      <c r="R999" s="257" t="e">
        <f t="shared" si="1603"/>
        <v>#REF!</v>
      </c>
      <c r="S999" s="257" t="e">
        <f t="shared" si="1594"/>
        <v>#REF!</v>
      </c>
      <c r="T999" s="257" t="e">
        <f t="shared" si="1595"/>
        <v>#REF!</v>
      </c>
      <c r="U999" s="257" t="e">
        <f t="shared" si="1596"/>
        <v>#REF!</v>
      </c>
      <c r="V999" s="257" t="e">
        <f t="shared" si="1597"/>
        <v>#REF!</v>
      </c>
      <c r="W999" s="257" t="e">
        <f t="shared" si="1598"/>
        <v>#REF!</v>
      </c>
      <c r="X999" s="257" t="e">
        <f t="shared" si="1599"/>
        <v>#REF!</v>
      </c>
      <c r="Y999" s="257" t="e">
        <f t="shared" si="1600"/>
        <v>#REF!</v>
      </c>
      <c r="Z999" s="257" t="e">
        <f t="shared" si="1601"/>
        <v>#REF!</v>
      </c>
    </row>
    <row r="1000" spans="1:26" ht="12.75" hidden="1" customHeight="1" x14ac:dyDescent="0.2">
      <c r="A1000" s="462" t="s">
        <v>206</v>
      </c>
      <c r="B1000" s="250" t="s">
        <v>57</v>
      </c>
      <c r="C1000" s="250" t="s">
        <v>190</v>
      </c>
      <c r="D1000" s="250" t="s">
        <v>207</v>
      </c>
      <c r="E1000" s="250"/>
      <c r="F1000" s="250"/>
      <c r="G1000" s="257"/>
      <c r="H1000" s="257"/>
      <c r="I1000" s="257" t="e">
        <f>#REF!+G1000</f>
        <v>#REF!</v>
      </c>
      <c r="J1000" s="257" t="e">
        <f t="shared" si="1593"/>
        <v>#REF!</v>
      </c>
      <c r="K1000" s="257" t="e">
        <f t="shared" si="1604"/>
        <v>#REF!</v>
      </c>
      <c r="L1000" s="257" t="e">
        <f t="shared" si="1604"/>
        <v>#REF!</v>
      </c>
      <c r="M1000" s="257" t="e">
        <f t="shared" si="1604"/>
        <v>#REF!</v>
      </c>
      <c r="N1000" s="257" t="e">
        <f t="shared" si="1604"/>
        <v>#REF!</v>
      </c>
      <c r="O1000" s="257" t="e">
        <f t="shared" si="1604"/>
        <v>#REF!</v>
      </c>
      <c r="P1000" s="257" t="e">
        <f t="shared" si="1604"/>
        <v>#REF!</v>
      </c>
      <c r="Q1000" s="257" t="e">
        <f t="shared" si="1604"/>
        <v>#REF!</v>
      </c>
      <c r="R1000" s="257" t="e">
        <f t="shared" si="1603"/>
        <v>#REF!</v>
      </c>
      <c r="S1000" s="257" t="e">
        <f t="shared" si="1594"/>
        <v>#REF!</v>
      </c>
      <c r="T1000" s="257" t="e">
        <f t="shared" si="1595"/>
        <v>#REF!</v>
      </c>
      <c r="U1000" s="257" t="e">
        <f t="shared" si="1596"/>
        <v>#REF!</v>
      </c>
      <c r="V1000" s="257" t="e">
        <f t="shared" si="1597"/>
        <v>#REF!</v>
      </c>
      <c r="W1000" s="257" t="e">
        <f t="shared" si="1598"/>
        <v>#REF!</v>
      </c>
      <c r="X1000" s="257" t="e">
        <f t="shared" si="1599"/>
        <v>#REF!</v>
      </c>
      <c r="Y1000" s="257" t="e">
        <f t="shared" si="1600"/>
        <v>#REF!</v>
      </c>
      <c r="Z1000" s="257" t="e">
        <f t="shared" si="1601"/>
        <v>#REF!</v>
      </c>
    </row>
    <row r="1001" spans="1:26" ht="38.25" hidden="1" customHeight="1" x14ac:dyDescent="0.2">
      <c r="A1001" s="259" t="s">
        <v>123</v>
      </c>
      <c r="B1001" s="252" t="s">
        <v>57</v>
      </c>
      <c r="C1001" s="252" t="s">
        <v>190</v>
      </c>
      <c r="D1001" s="252" t="s">
        <v>207</v>
      </c>
      <c r="E1001" s="260" t="s">
        <v>332</v>
      </c>
      <c r="F1001" s="252"/>
      <c r="G1001" s="257"/>
      <c r="H1001" s="257"/>
      <c r="I1001" s="257" t="e">
        <f>#REF!+G1001</f>
        <v>#REF!</v>
      </c>
      <c r="J1001" s="257" t="e">
        <f t="shared" si="1593"/>
        <v>#REF!</v>
      </c>
      <c r="K1001" s="257" t="e">
        <f t="shared" si="1604"/>
        <v>#REF!</v>
      </c>
      <c r="L1001" s="257" t="e">
        <f t="shared" si="1604"/>
        <v>#REF!</v>
      </c>
      <c r="M1001" s="257" t="e">
        <f t="shared" si="1604"/>
        <v>#REF!</v>
      </c>
      <c r="N1001" s="257" t="e">
        <f t="shared" si="1604"/>
        <v>#REF!</v>
      </c>
      <c r="O1001" s="257" t="e">
        <f t="shared" si="1604"/>
        <v>#REF!</v>
      </c>
      <c r="P1001" s="257" t="e">
        <f t="shared" si="1604"/>
        <v>#REF!</v>
      </c>
      <c r="Q1001" s="257" t="e">
        <f t="shared" si="1604"/>
        <v>#REF!</v>
      </c>
      <c r="R1001" s="257" t="e">
        <f t="shared" si="1603"/>
        <v>#REF!</v>
      </c>
      <c r="S1001" s="257" t="e">
        <f t="shared" si="1594"/>
        <v>#REF!</v>
      </c>
      <c r="T1001" s="257" t="e">
        <f t="shared" si="1595"/>
        <v>#REF!</v>
      </c>
      <c r="U1001" s="257" t="e">
        <f t="shared" si="1596"/>
        <v>#REF!</v>
      </c>
      <c r="V1001" s="257" t="e">
        <f t="shared" si="1597"/>
        <v>#REF!</v>
      </c>
      <c r="W1001" s="257" t="e">
        <f t="shared" si="1598"/>
        <v>#REF!</v>
      </c>
      <c r="X1001" s="257" t="e">
        <f t="shared" si="1599"/>
        <v>#REF!</v>
      </c>
      <c r="Y1001" s="257" t="e">
        <f t="shared" si="1600"/>
        <v>#REF!</v>
      </c>
      <c r="Z1001" s="257" t="e">
        <f t="shared" si="1601"/>
        <v>#REF!</v>
      </c>
    </row>
    <row r="1002" spans="1:26" ht="12.75" hidden="1" customHeight="1" x14ac:dyDescent="0.2">
      <c r="A1002" s="259" t="s">
        <v>333</v>
      </c>
      <c r="B1002" s="252" t="s">
        <v>57</v>
      </c>
      <c r="C1002" s="252" t="s">
        <v>190</v>
      </c>
      <c r="D1002" s="252" t="s">
        <v>207</v>
      </c>
      <c r="E1002" s="260" t="s">
        <v>334</v>
      </c>
      <c r="F1002" s="252"/>
      <c r="G1002" s="257"/>
      <c r="H1002" s="257"/>
      <c r="I1002" s="257" t="e">
        <f>#REF!+G1002</f>
        <v>#REF!</v>
      </c>
      <c r="J1002" s="257" t="e">
        <f t="shared" ref="J1002:J1036" si="1605">H1002+I1002</f>
        <v>#REF!</v>
      </c>
      <c r="K1002" s="257" t="e">
        <f t="shared" si="1604"/>
        <v>#REF!</v>
      </c>
      <c r="L1002" s="257" t="e">
        <f t="shared" si="1604"/>
        <v>#REF!</v>
      </c>
      <c r="M1002" s="257" t="e">
        <f t="shared" si="1604"/>
        <v>#REF!</v>
      </c>
      <c r="N1002" s="257" t="e">
        <f t="shared" si="1604"/>
        <v>#REF!</v>
      </c>
      <c r="O1002" s="257" t="e">
        <f t="shared" si="1604"/>
        <v>#REF!</v>
      </c>
      <c r="P1002" s="257" t="e">
        <f t="shared" si="1604"/>
        <v>#REF!</v>
      </c>
      <c r="Q1002" s="257" t="e">
        <f t="shared" si="1604"/>
        <v>#REF!</v>
      </c>
      <c r="R1002" s="257" t="e">
        <f t="shared" si="1603"/>
        <v>#REF!</v>
      </c>
      <c r="S1002" s="257" t="e">
        <f t="shared" ref="S1002:S1035" si="1606">Q1002+R1002</f>
        <v>#REF!</v>
      </c>
      <c r="T1002" s="257" t="e">
        <f t="shared" ref="T1002:T1035" si="1607">R1002+S1002</f>
        <v>#REF!</v>
      </c>
      <c r="U1002" s="257" t="e">
        <f t="shared" ref="U1002:U1035" si="1608">S1002+T1002</f>
        <v>#REF!</v>
      </c>
      <c r="V1002" s="257" t="e">
        <f t="shared" ref="V1002:V1035" si="1609">T1002+U1002</f>
        <v>#REF!</v>
      </c>
      <c r="W1002" s="257" t="e">
        <f t="shared" ref="W1002:W1035" si="1610">U1002+V1002</f>
        <v>#REF!</v>
      </c>
      <c r="X1002" s="257" t="e">
        <f t="shared" ref="X1002:X1035" si="1611">V1002+W1002</f>
        <v>#REF!</v>
      </c>
      <c r="Y1002" s="257" t="e">
        <f t="shared" ref="Y1002:Y1035" si="1612">W1002+X1002</f>
        <v>#REF!</v>
      </c>
      <c r="Z1002" s="257" t="e">
        <f t="shared" ref="Z1002:Z1039" si="1613">X1002+Y1002</f>
        <v>#REF!</v>
      </c>
    </row>
    <row r="1003" spans="1:26" ht="12.75" hidden="1" customHeight="1" x14ac:dyDescent="0.2">
      <c r="A1003" s="259" t="s">
        <v>320</v>
      </c>
      <c r="B1003" s="252" t="s">
        <v>57</v>
      </c>
      <c r="C1003" s="252" t="s">
        <v>190</v>
      </c>
      <c r="D1003" s="252" t="s">
        <v>207</v>
      </c>
      <c r="E1003" s="260" t="s">
        <v>334</v>
      </c>
      <c r="F1003" s="252" t="s">
        <v>321</v>
      </c>
      <c r="G1003" s="257"/>
      <c r="H1003" s="257"/>
      <c r="I1003" s="257" t="e">
        <f>#REF!+G1003</f>
        <v>#REF!</v>
      </c>
      <c r="J1003" s="257" t="e">
        <f t="shared" si="1605"/>
        <v>#REF!</v>
      </c>
      <c r="K1003" s="257" t="e">
        <f t="shared" si="1604"/>
        <v>#REF!</v>
      </c>
      <c r="L1003" s="257" t="e">
        <f t="shared" si="1604"/>
        <v>#REF!</v>
      </c>
      <c r="M1003" s="257" t="e">
        <f t="shared" si="1604"/>
        <v>#REF!</v>
      </c>
      <c r="N1003" s="257" t="e">
        <f t="shared" si="1604"/>
        <v>#REF!</v>
      </c>
      <c r="O1003" s="257" t="e">
        <f t="shared" si="1604"/>
        <v>#REF!</v>
      </c>
      <c r="P1003" s="257" t="e">
        <f t="shared" si="1604"/>
        <v>#REF!</v>
      </c>
      <c r="Q1003" s="257" t="e">
        <f t="shared" si="1604"/>
        <v>#REF!</v>
      </c>
      <c r="R1003" s="257" t="e">
        <f t="shared" si="1603"/>
        <v>#REF!</v>
      </c>
      <c r="S1003" s="257" t="e">
        <f t="shared" si="1606"/>
        <v>#REF!</v>
      </c>
      <c r="T1003" s="257" t="e">
        <f t="shared" si="1607"/>
        <v>#REF!</v>
      </c>
      <c r="U1003" s="257" t="e">
        <f t="shared" si="1608"/>
        <v>#REF!</v>
      </c>
      <c r="V1003" s="257" t="e">
        <f t="shared" si="1609"/>
        <v>#REF!</v>
      </c>
      <c r="W1003" s="257" t="e">
        <f t="shared" si="1610"/>
        <v>#REF!</v>
      </c>
      <c r="X1003" s="257" t="e">
        <f t="shared" si="1611"/>
        <v>#REF!</v>
      </c>
      <c r="Y1003" s="257" t="e">
        <f t="shared" si="1612"/>
        <v>#REF!</v>
      </c>
      <c r="Z1003" s="257" t="e">
        <f t="shared" si="1613"/>
        <v>#REF!</v>
      </c>
    </row>
    <row r="1004" spans="1:26" ht="12.75" hidden="1" customHeight="1" x14ac:dyDescent="0.2">
      <c r="A1004" s="259" t="s">
        <v>302</v>
      </c>
      <c r="B1004" s="252" t="s">
        <v>57</v>
      </c>
      <c r="C1004" s="252" t="s">
        <v>190</v>
      </c>
      <c r="D1004" s="252" t="s">
        <v>207</v>
      </c>
      <c r="E1004" s="260" t="s">
        <v>334</v>
      </c>
      <c r="F1004" s="252" t="s">
        <v>303</v>
      </c>
      <c r="G1004" s="257"/>
      <c r="H1004" s="257"/>
      <c r="I1004" s="257" t="e">
        <f>#REF!+G1004</f>
        <v>#REF!</v>
      </c>
      <c r="J1004" s="257" t="e">
        <f t="shared" si="1605"/>
        <v>#REF!</v>
      </c>
      <c r="K1004" s="257" t="e">
        <f t="shared" si="1604"/>
        <v>#REF!</v>
      </c>
      <c r="L1004" s="257" t="e">
        <f t="shared" si="1604"/>
        <v>#REF!</v>
      </c>
      <c r="M1004" s="257" t="e">
        <f t="shared" si="1604"/>
        <v>#REF!</v>
      </c>
      <c r="N1004" s="257" t="e">
        <f t="shared" si="1604"/>
        <v>#REF!</v>
      </c>
      <c r="O1004" s="257" t="e">
        <f t="shared" si="1604"/>
        <v>#REF!</v>
      </c>
      <c r="P1004" s="257" t="e">
        <f t="shared" si="1604"/>
        <v>#REF!</v>
      </c>
      <c r="Q1004" s="257" t="e">
        <f t="shared" si="1604"/>
        <v>#REF!</v>
      </c>
      <c r="R1004" s="257" t="e">
        <f t="shared" si="1603"/>
        <v>#REF!</v>
      </c>
      <c r="S1004" s="257" t="e">
        <f t="shared" si="1606"/>
        <v>#REF!</v>
      </c>
      <c r="T1004" s="257" t="e">
        <f t="shared" si="1607"/>
        <v>#REF!</v>
      </c>
      <c r="U1004" s="257" t="e">
        <f t="shared" si="1608"/>
        <v>#REF!</v>
      </c>
      <c r="V1004" s="257" t="e">
        <f t="shared" si="1609"/>
        <v>#REF!</v>
      </c>
      <c r="W1004" s="257" t="e">
        <f t="shared" si="1610"/>
        <v>#REF!</v>
      </c>
      <c r="X1004" s="257" t="e">
        <f t="shared" si="1611"/>
        <v>#REF!</v>
      </c>
      <c r="Y1004" s="257" t="e">
        <f t="shared" si="1612"/>
        <v>#REF!</v>
      </c>
      <c r="Z1004" s="257" t="e">
        <f t="shared" si="1613"/>
        <v>#REF!</v>
      </c>
    </row>
    <row r="1005" spans="1:26" ht="34.5" hidden="1" customHeight="1" x14ac:dyDescent="0.2">
      <c r="A1005" s="525" t="s">
        <v>58</v>
      </c>
      <c r="B1005" s="526"/>
      <c r="C1005" s="526"/>
      <c r="D1005" s="526"/>
      <c r="E1005" s="526"/>
      <c r="F1005" s="252"/>
      <c r="G1005" s="257"/>
      <c r="H1005" s="257"/>
      <c r="I1005" s="257" t="e">
        <f>#REF!+G1005</f>
        <v>#REF!</v>
      </c>
      <c r="J1005" s="257" t="e">
        <f t="shared" si="1605"/>
        <v>#REF!</v>
      </c>
      <c r="K1005" s="257" t="e">
        <f t="shared" si="1604"/>
        <v>#REF!</v>
      </c>
      <c r="L1005" s="257" t="e">
        <f t="shared" si="1604"/>
        <v>#REF!</v>
      </c>
      <c r="M1005" s="257" t="e">
        <f t="shared" si="1604"/>
        <v>#REF!</v>
      </c>
      <c r="N1005" s="257" t="e">
        <f t="shared" si="1604"/>
        <v>#REF!</v>
      </c>
      <c r="O1005" s="257" t="e">
        <f t="shared" si="1604"/>
        <v>#REF!</v>
      </c>
      <c r="P1005" s="257" t="e">
        <f t="shared" si="1604"/>
        <v>#REF!</v>
      </c>
      <c r="Q1005" s="257" t="e">
        <f t="shared" si="1604"/>
        <v>#REF!</v>
      </c>
      <c r="R1005" s="257" t="e">
        <f t="shared" si="1603"/>
        <v>#REF!</v>
      </c>
      <c r="S1005" s="257" t="e">
        <f t="shared" si="1606"/>
        <v>#REF!</v>
      </c>
      <c r="T1005" s="257" t="e">
        <f t="shared" si="1607"/>
        <v>#REF!</v>
      </c>
      <c r="U1005" s="257" t="e">
        <f t="shared" si="1608"/>
        <v>#REF!</v>
      </c>
      <c r="V1005" s="257" t="e">
        <f t="shared" si="1609"/>
        <v>#REF!</v>
      </c>
      <c r="W1005" s="257" t="e">
        <f t="shared" si="1610"/>
        <v>#REF!</v>
      </c>
      <c r="X1005" s="257" t="e">
        <f t="shared" si="1611"/>
        <v>#REF!</v>
      </c>
      <c r="Y1005" s="257" t="e">
        <f t="shared" si="1612"/>
        <v>#REF!</v>
      </c>
      <c r="Z1005" s="257" t="e">
        <f t="shared" si="1613"/>
        <v>#REF!</v>
      </c>
    </row>
    <row r="1006" spans="1:26" ht="12.75" hidden="1" customHeight="1" x14ac:dyDescent="0.2">
      <c r="A1006" s="462" t="s">
        <v>306</v>
      </c>
      <c r="B1006" s="249">
        <v>815</v>
      </c>
      <c r="C1006" s="250" t="s">
        <v>196</v>
      </c>
      <c r="D1006" s="250"/>
      <c r="E1006" s="250"/>
      <c r="F1006" s="250"/>
      <c r="G1006" s="257"/>
      <c r="H1006" s="257"/>
      <c r="I1006" s="257" t="e">
        <f>#REF!+G1006</f>
        <v>#REF!</v>
      </c>
      <c r="J1006" s="257" t="e">
        <f t="shared" si="1605"/>
        <v>#REF!</v>
      </c>
      <c r="K1006" s="257" t="e">
        <f t="shared" si="1604"/>
        <v>#REF!</v>
      </c>
      <c r="L1006" s="257" t="e">
        <f t="shared" si="1604"/>
        <v>#REF!</v>
      </c>
      <c r="M1006" s="257" t="e">
        <f t="shared" si="1604"/>
        <v>#REF!</v>
      </c>
      <c r="N1006" s="257" t="e">
        <f t="shared" si="1604"/>
        <v>#REF!</v>
      </c>
      <c r="O1006" s="257" t="e">
        <f t="shared" si="1604"/>
        <v>#REF!</v>
      </c>
      <c r="P1006" s="257" t="e">
        <f t="shared" si="1604"/>
        <v>#REF!</v>
      </c>
      <c r="Q1006" s="257" t="e">
        <f t="shared" si="1604"/>
        <v>#REF!</v>
      </c>
      <c r="R1006" s="257" t="e">
        <f t="shared" si="1603"/>
        <v>#REF!</v>
      </c>
      <c r="S1006" s="257" t="e">
        <f t="shared" si="1606"/>
        <v>#REF!</v>
      </c>
      <c r="T1006" s="257" t="e">
        <f t="shared" si="1607"/>
        <v>#REF!</v>
      </c>
      <c r="U1006" s="257" t="e">
        <f t="shared" si="1608"/>
        <v>#REF!</v>
      </c>
      <c r="V1006" s="257" t="e">
        <f t="shared" si="1609"/>
        <v>#REF!</v>
      </c>
      <c r="W1006" s="257" t="e">
        <f t="shared" si="1610"/>
        <v>#REF!</v>
      </c>
      <c r="X1006" s="257" t="e">
        <f t="shared" si="1611"/>
        <v>#REF!</v>
      </c>
      <c r="Y1006" s="257" t="e">
        <f t="shared" si="1612"/>
        <v>#REF!</v>
      </c>
      <c r="Z1006" s="257" t="e">
        <f t="shared" si="1613"/>
        <v>#REF!</v>
      </c>
    </row>
    <row r="1007" spans="1:26" ht="12.75" hidden="1" customHeight="1" x14ac:dyDescent="0.2">
      <c r="A1007" s="462" t="s">
        <v>217</v>
      </c>
      <c r="B1007" s="249">
        <v>815</v>
      </c>
      <c r="C1007" s="250" t="s">
        <v>196</v>
      </c>
      <c r="D1007" s="250" t="s">
        <v>198</v>
      </c>
      <c r="E1007" s="250"/>
      <c r="F1007" s="250"/>
      <c r="G1007" s="257"/>
      <c r="H1007" s="257"/>
      <c r="I1007" s="257" t="e">
        <f>#REF!+G1007</f>
        <v>#REF!</v>
      </c>
      <c r="J1007" s="257" t="e">
        <f t="shared" si="1605"/>
        <v>#REF!</v>
      </c>
      <c r="K1007" s="257" t="e">
        <f t="shared" si="1604"/>
        <v>#REF!</v>
      </c>
      <c r="L1007" s="257" t="e">
        <f t="shared" si="1604"/>
        <v>#REF!</v>
      </c>
      <c r="M1007" s="257" t="e">
        <f t="shared" si="1604"/>
        <v>#REF!</v>
      </c>
      <c r="N1007" s="257" t="e">
        <f t="shared" si="1604"/>
        <v>#REF!</v>
      </c>
      <c r="O1007" s="257" t="e">
        <f t="shared" si="1604"/>
        <v>#REF!</v>
      </c>
      <c r="P1007" s="257" t="e">
        <f t="shared" si="1604"/>
        <v>#REF!</v>
      </c>
      <c r="Q1007" s="257" t="e">
        <f t="shared" si="1604"/>
        <v>#REF!</v>
      </c>
      <c r="R1007" s="257" t="e">
        <f t="shared" si="1603"/>
        <v>#REF!</v>
      </c>
      <c r="S1007" s="257" t="e">
        <f t="shared" si="1606"/>
        <v>#REF!</v>
      </c>
      <c r="T1007" s="257" t="e">
        <f t="shared" si="1607"/>
        <v>#REF!</v>
      </c>
      <c r="U1007" s="257" t="e">
        <f t="shared" si="1608"/>
        <v>#REF!</v>
      </c>
      <c r="V1007" s="257" t="e">
        <f t="shared" si="1609"/>
        <v>#REF!</v>
      </c>
      <c r="W1007" s="257" t="e">
        <f t="shared" si="1610"/>
        <v>#REF!</v>
      </c>
      <c r="X1007" s="257" t="e">
        <f t="shared" si="1611"/>
        <v>#REF!</v>
      </c>
      <c r="Y1007" s="257" t="e">
        <f t="shared" si="1612"/>
        <v>#REF!</v>
      </c>
      <c r="Z1007" s="257" t="e">
        <f t="shared" si="1613"/>
        <v>#REF!</v>
      </c>
    </row>
    <row r="1008" spans="1:26" ht="38.25" hidden="1" customHeight="1" x14ac:dyDescent="0.2">
      <c r="A1008" s="259" t="s">
        <v>123</v>
      </c>
      <c r="B1008" s="271">
        <v>815</v>
      </c>
      <c r="C1008" s="252" t="s">
        <v>196</v>
      </c>
      <c r="D1008" s="252" t="s">
        <v>198</v>
      </c>
      <c r="E1008" s="252" t="s">
        <v>332</v>
      </c>
      <c r="F1008" s="250"/>
      <c r="G1008" s="257"/>
      <c r="H1008" s="257"/>
      <c r="I1008" s="257" t="e">
        <f>#REF!+G1008</f>
        <v>#REF!</v>
      </c>
      <c r="J1008" s="257" t="e">
        <f t="shared" si="1605"/>
        <v>#REF!</v>
      </c>
      <c r="K1008" s="257" t="e">
        <f t="shared" si="1604"/>
        <v>#REF!</v>
      </c>
      <c r="L1008" s="257" t="e">
        <f t="shared" si="1604"/>
        <v>#REF!</v>
      </c>
      <c r="M1008" s="257" t="e">
        <f t="shared" si="1604"/>
        <v>#REF!</v>
      </c>
      <c r="N1008" s="257" t="e">
        <f t="shared" si="1604"/>
        <v>#REF!</v>
      </c>
      <c r="O1008" s="257" t="e">
        <f t="shared" si="1604"/>
        <v>#REF!</v>
      </c>
      <c r="P1008" s="257" t="e">
        <f t="shared" si="1604"/>
        <v>#REF!</v>
      </c>
      <c r="Q1008" s="257" t="e">
        <f t="shared" si="1604"/>
        <v>#REF!</v>
      </c>
      <c r="R1008" s="257" t="e">
        <f t="shared" si="1603"/>
        <v>#REF!</v>
      </c>
      <c r="S1008" s="257" t="e">
        <f t="shared" si="1606"/>
        <v>#REF!</v>
      </c>
      <c r="T1008" s="257" t="e">
        <f t="shared" si="1607"/>
        <v>#REF!</v>
      </c>
      <c r="U1008" s="257" t="e">
        <f t="shared" si="1608"/>
        <v>#REF!</v>
      </c>
      <c r="V1008" s="257" t="e">
        <f t="shared" si="1609"/>
        <v>#REF!</v>
      </c>
      <c r="W1008" s="257" t="e">
        <f t="shared" si="1610"/>
        <v>#REF!</v>
      </c>
      <c r="X1008" s="257" t="e">
        <f t="shared" si="1611"/>
        <v>#REF!</v>
      </c>
      <c r="Y1008" s="257" t="e">
        <f t="shared" si="1612"/>
        <v>#REF!</v>
      </c>
      <c r="Z1008" s="257" t="e">
        <f t="shared" si="1613"/>
        <v>#REF!</v>
      </c>
    </row>
    <row r="1009" spans="1:26" ht="12.75" hidden="1" customHeight="1" x14ac:dyDescent="0.2">
      <c r="A1009" s="259" t="s">
        <v>333</v>
      </c>
      <c r="B1009" s="271">
        <v>815</v>
      </c>
      <c r="C1009" s="252" t="s">
        <v>196</v>
      </c>
      <c r="D1009" s="252" t="s">
        <v>198</v>
      </c>
      <c r="E1009" s="252" t="s">
        <v>334</v>
      </c>
      <c r="F1009" s="252"/>
      <c r="G1009" s="257"/>
      <c r="H1009" s="257"/>
      <c r="I1009" s="257" t="e">
        <f>#REF!+G1009</f>
        <v>#REF!</v>
      </c>
      <c r="J1009" s="257" t="e">
        <f t="shared" si="1605"/>
        <v>#REF!</v>
      </c>
      <c r="K1009" s="257" t="e">
        <f t="shared" si="1604"/>
        <v>#REF!</v>
      </c>
      <c r="L1009" s="257" t="e">
        <f t="shared" si="1604"/>
        <v>#REF!</v>
      </c>
      <c r="M1009" s="257" t="e">
        <f t="shared" si="1604"/>
        <v>#REF!</v>
      </c>
      <c r="N1009" s="257" t="e">
        <f t="shared" si="1604"/>
        <v>#REF!</v>
      </c>
      <c r="O1009" s="257" t="e">
        <f t="shared" si="1604"/>
        <v>#REF!</v>
      </c>
      <c r="P1009" s="257" t="e">
        <f t="shared" si="1604"/>
        <v>#REF!</v>
      </c>
      <c r="Q1009" s="257" t="e">
        <f t="shared" si="1604"/>
        <v>#REF!</v>
      </c>
      <c r="R1009" s="257" t="e">
        <f t="shared" si="1603"/>
        <v>#REF!</v>
      </c>
      <c r="S1009" s="257" t="e">
        <f t="shared" si="1606"/>
        <v>#REF!</v>
      </c>
      <c r="T1009" s="257" t="e">
        <f t="shared" si="1607"/>
        <v>#REF!</v>
      </c>
      <c r="U1009" s="257" t="e">
        <f t="shared" si="1608"/>
        <v>#REF!</v>
      </c>
      <c r="V1009" s="257" t="e">
        <f t="shared" si="1609"/>
        <v>#REF!</v>
      </c>
      <c r="W1009" s="257" t="e">
        <f t="shared" si="1610"/>
        <v>#REF!</v>
      </c>
      <c r="X1009" s="257" t="e">
        <f t="shared" si="1611"/>
        <v>#REF!</v>
      </c>
      <c r="Y1009" s="257" t="e">
        <f t="shared" si="1612"/>
        <v>#REF!</v>
      </c>
      <c r="Z1009" s="257" t="e">
        <f t="shared" si="1613"/>
        <v>#REF!</v>
      </c>
    </row>
    <row r="1010" spans="1:26" ht="12.75" hidden="1" customHeight="1" x14ac:dyDescent="0.2">
      <c r="A1010" s="259" t="s">
        <v>320</v>
      </c>
      <c r="B1010" s="271">
        <v>815</v>
      </c>
      <c r="C1010" s="252" t="s">
        <v>196</v>
      </c>
      <c r="D1010" s="252" t="s">
        <v>198</v>
      </c>
      <c r="E1010" s="252" t="s">
        <v>334</v>
      </c>
      <c r="F1010" s="252" t="s">
        <v>321</v>
      </c>
      <c r="G1010" s="257"/>
      <c r="H1010" s="257"/>
      <c r="I1010" s="257" t="e">
        <f>#REF!+G1010</f>
        <v>#REF!</v>
      </c>
      <c r="J1010" s="257" t="e">
        <f t="shared" si="1605"/>
        <v>#REF!</v>
      </c>
      <c r="K1010" s="257" t="e">
        <f t="shared" si="1604"/>
        <v>#REF!</v>
      </c>
      <c r="L1010" s="257" t="e">
        <f t="shared" si="1604"/>
        <v>#REF!</v>
      </c>
      <c r="M1010" s="257" t="e">
        <f t="shared" si="1604"/>
        <v>#REF!</v>
      </c>
      <c r="N1010" s="257" t="e">
        <f t="shared" si="1604"/>
        <v>#REF!</v>
      </c>
      <c r="O1010" s="257" t="e">
        <f t="shared" si="1604"/>
        <v>#REF!</v>
      </c>
      <c r="P1010" s="257" t="e">
        <f t="shared" si="1604"/>
        <v>#REF!</v>
      </c>
      <c r="Q1010" s="257" t="e">
        <f t="shared" si="1604"/>
        <v>#REF!</v>
      </c>
      <c r="R1010" s="257" t="e">
        <f t="shared" si="1603"/>
        <v>#REF!</v>
      </c>
      <c r="S1010" s="257" t="e">
        <f t="shared" si="1606"/>
        <v>#REF!</v>
      </c>
      <c r="T1010" s="257" t="e">
        <f t="shared" si="1607"/>
        <v>#REF!</v>
      </c>
      <c r="U1010" s="257" t="e">
        <f t="shared" si="1608"/>
        <v>#REF!</v>
      </c>
      <c r="V1010" s="257" t="e">
        <f t="shared" si="1609"/>
        <v>#REF!</v>
      </c>
      <c r="W1010" s="257" t="e">
        <f t="shared" si="1610"/>
        <v>#REF!</v>
      </c>
      <c r="X1010" s="257" t="e">
        <f t="shared" si="1611"/>
        <v>#REF!</v>
      </c>
      <c r="Y1010" s="257" t="e">
        <f t="shared" si="1612"/>
        <v>#REF!</v>
      </c>
      <c r="Z1010" s="257" t="e">
        <f t="shared" si="1613"/>
        <v>#REF!</v>
      </c>
    </row>
    <row r="1011" spans="1:26" ht="25.5" hidden="1" customHeight="1" x14ac:dyDescent="0.2">
      <c r="A1011" s="259" t="s">
        <v>59</v>
      </c>
      <c r="B1011" s="271">
        <v>815</v>
      </c>
      <c r="C1011" s="252" t="s">
        <v>196</v>
      </c>
      <c r="D1011" s="252" t="s">
        <v>198</v>
      </c>
      <c r="E1011" s="252" t="s">
        <v>60</v>
      </c>
      <c r="F1011" s="252"/>
      <c r="G1011" s="257"/>
      <c r="H1011" s="257"/>
      <c r="I1011" s="257" t="e">
        <f>#REF!+G1011</f>
        <v>#REF!</v>
      </c>
      <c r="J1011" s="257" t="e">
        <f t="shared" si="1605"/>
        <v>#REF!</v>
      </c>
      <c r="K1011" s="257" t="e">
        <f t="shared" si="1604"/>
        <v>#REF!</v>
      </c>
      <c r="L1011" s="257" t="e">
        <f t="shared" si="1604"/>
        <v>#REF!</v>
      </c>
      <c r="M1011" s="257" t="e">
        <f t="shared" si="1604"/>
        <v>#REF!</v>
      </c>
      <c r="N1011" s="257" t="e">
        <f t="shared" si="1604"/>
        <v>#REF!</v>
      </c>
      <c r="O1011" s="257" t="e">
        <f t="shared" si="1604"/>
        <v>#REF!</v>
      </c>
      <c r="P1011" s="257" t="e">
        <f t="shared" si="1604"/>
        <v>#REF!</v>
      </c>
      <c r="Q1011" s="257" t="e">
        <f t="shared" si="1604"/>
        <v>#REF!</v>
      </c>
      <c r="R1011" s="257" t="e">
        <f t="shared" si="1603"/>
        <v>#REF!</v>
      </c>
      <c r="S1011" s="257" t="e">
        <f t="shared" si="1606"/>
        <v>#REF!</v>
      </c>
      <c r="T1011" s="257" t="e">
        <f t="shared" si="1607"/>
        <v>#REF!</v>
      </c>
      <c r="U1011" s="257" t="e">
        <f t="shared" si="1608"/>
        <v>#REF!</v>
      </c>
      <c r="V1011" s="257" t="e">
        <f t="shared" si="1609"/>
        <v>#REF!</v>
      </c>
      <c r="W1011" s="257" t="e">
        <f t="shared" si="1610"/>
        <v>#REF!</v>
      </c>
      <c r="X1011" s="257" t="e">
        <f t="shared" si="1611"/>
        <v>#REF!</v>
      </c>
      <c r="Y1011" s="257" t="e">
        <f t="shared" si="1612"/>
        <v>#REF!</v>
      </c>
      <c r="Z1011" s="257" t="e">
        <f t="shared" si="1613"/>
        <v>#REF!</v>
      </c>
    </row>
    <row r="1012" spans="1:26" ht="12.75" hidden="1" customHeight="1" x14ac:dyDescent="0.2">
      <c r="A1012" s="259" t="s">
        <v>320</v>
      </c>
      <c r="B1012" s="271">
        <v>815</v>
      </c>
      <c r="C1012" s="252" t="s">
        <v>196</v>
      </c>
      <c r="D1012" s="252" t="s">
        <v>198</v>
      </c>
      <c r="E1012" s="252" t="s">
        <v>60</v>
      </c>
      <c r="F1012" s="252" t="s">
        <v>321</v>
      </c>
      <c r="G1012" s="257"/>
      <c r="H1012" s="257"/>
      <c r="I1012" s="257" t="e">
        <f>#REF!+G1012</f>
        <v>#REF!</v>
      </c>
      <c r="J1012" s="257" t="e">
        <f t="shared" si="1605"/>
        <v>#REF!</v>
      </c>
      <c r="K1012" s="257" t="e">
        <f t="shared" si="1604"/>
        <v>#REF!</v>
      </c>
      <c r="L1012" s="257" t="e">
        <f t="shared" si="1604"/>
        <v>#REF!</v>
      </c>
      <c r="M1012" s="257" t="e">
        <f t="shared" si="1604"/>
        <v>#REF!</v>
      </c>
      <c r="N1012" s="257" t="e">
        <f t="shared" si="1604"/>
        <v>#REF!</v>
      </c>
      <c r="O1012" s="257" t="e">
        <f t="shared" si="1604"/>
        <v>#REF!</v>
      </c>
      <c r="P1012" s="257" t="e">
        <f t="shared" si="1604"/>
        <v>#REF!</v>
      </c>
      <c r="Q1012" s="257" t="e">
        <f t="shared" si="1604"/>
        <v>#REF!</v>
      </c>
      <c r="R1012" s="257" t="e">
        <f t="shared" si="1603"/>
        <v>#REF!</v>
      </c>
      <c r="S1012" s="257" t="e">
        <f t="shared" si="1606"/>
        <v>#REF!</v>
      </c>
      <c r="T1012" s="257" t="e">
        <f t="shared" si="1607"/>
        <v>#REF!</v>
      </c>
      <c r="U1012" s="257" t="e">
        <f t="shared" si="1608"/>
        <v>#REF!</v>
      </c>
      <c r="V1012" s="257" t="e">
        <f t="shared" si="1609"/>
        <v>#REF!</v>
      </c>
      <c r="W1012" s="257" t="e">
        <f t="shared" si="1610"/>
        <v>#REF!</v>
      </c>
      <c r="X1012" s="257" t="e">
        <f t="shared" si="1611"/>
        <v>#REF!</v>
      </c>
      <c r="Y1012" s="257" t="e">
        <f t="shared" si="1612"/>
        <v>#REF!</v>
      </c>
      <c r="Z1012" s="257" t="e">
        <f t="shared" si="1613"/>
        <v>#REF!</v>
      </c>
    </row>
    <row r="1013" spans="1:26" ht="12.75" hidden="1" customHeight="1" x14ac:dyDescent="0.2">
      <c r="A1013" s="462" t="s">
        <v>25</v>
      </c>
      <c r="B1013" s="249">
        <v>815</v>
      </c>
      <c r="C1013" s="250" t="s">
        <v>200</v>
      </c>
      <c r="D1013" s="250"/>
      <c r="E1013" s="252"/>
      <c r="F1013" s="252"/>
      <c r="G1013" s="257"/>
      <c r="H1013" s="257"/>
      <c r="I1013" s="257" t="e">
        <f>#REF!+G1013</f>
        <v>#REF!</v>
      </c>
      <c r="J1013" s="257" t="e">
        <f t="shared" si="1605"/>
        <v>#REF!</v>
      </c>
      <c r="K1013" s="257" t="e">
        <f t="shared" si="1604"/>
        <v>#REF!</v>
      </c>
      <c r="L1013" s="257" t="e">
        <f t="shared" si="1604"/>
        <v>#REF!</v>
      </c>
      <c r="M1013" s="257" t="e">
        <f t="shared" si="1604"/>
        <v>#REF!</v>
      </c>
      <c r="N1013" s="257" t="e">
        <f t="shared" si="1604"/>
        <v>#REF!</v>
      </c>
      <c r="O1013" s="257" t="e">
        <f t="shared" si="1604"/>
        <v>#REF!</v>
      </c>
      <c r="P1013" s="257" t="e">
        <f t="shared" si="1604"/>
        <v>#REF!</v>
      </c>
      <c r="Q1013" s="257" t="e">
        <f t="shared" si="1604"/>
        <v>#REF!</v>
      </c>
      <c r="R1013" s="257" t="e">
        <f t="shared" si="1603"/>
        <v>#REF!</v>
      </c>
      <c r="S1013" s="257" t="e">
        <f t="shared" si="1606"/>
        <v>#REF!</v>
      </c>
      <c r="T1013" s="257" t="e">
        <f t="shared" si="1607"/>
        <v>#REF!</v>
      </c>
      <c r="U1013" s="257" t="e">
        <f t="shared" si="1608"/>
        <v>#REF!</v>
      </c>
      <c r="V1013" s="257" t="e">
        <f t="shared" si="1609"/>
        <v>#REF!</v>
      </c>
      <c r="W1013" s="257" t="e">
        <f t="shared" si="1610"/>
        <v>#REF!</v>
      </c>
      <c r="X1013" s="257" t="e">
        <f t="shared" si="1611"/>
        <v>#REF!</v>
      </c>
      <c r="Y1013" s="257" t="e">
        <f t="shared" si="1612"/>
        <v>#REF!</v>
      </c>
      <c r="Z1013" s="257" t="e">
        <f t="shared" si="1613"/>
        <v>#REF!</v>
      </c>
    </row>
    <row r="1014" spans="1:26" ht="25.5" hidden="1" customHeight="1" x14ac:dyDescent="0.2">
      <c r="A1014" s="462" t="s">
        <v>26</v>
      </c>
      <c r="B1014" s="249">
        <v>815</v>
      </c>
      <c r="C1014" s="250" t="s">
        <v>200</v>
      </c>
      <c r="D1014" s="250" t="s">
        <v>194</v>
      </c>
      <c r="E1014" s="252"/>
      <c r="F1014" s="252"/>
      <c r="G1014" s="257"/>
      <c r="H1014" s="257"/>
      <c r="I1014" s="257" t="e">
        <f>#REF!+G1014</f>
        <v>#REF!</v>
      </c>
      <c r="J1014" s="257" t="e">
        <f t="shared" si="1605"/>
        <v>#REF!</v>
      </c>
      <c r="K1014" s="257" t="e">
        <f t="shared" si="1604"/>
        <v>#REF!</v>
      </c>
      <c r="L1014" s="257" t="e">
        <f t="shared" si="1604"/>
        <v>#REF!</v>
      </c>
      <c r="M1014" s="257" t="e">
        <f t="shared" si="1604"/>
        <v>#REF!</v>
      </c>
      <c r="N1014" s="257" t="e">
        <f t="shared" si="1604"/>
        <v>#REF!</v>
      </c>
      <c r="O1014" s="257" t="e">
        <f t="shared" si="1604"/>
        <v>#REF!</v>
      </c>
      <c r="P1014" s="257" t="e">
        <f t="shared" si="1604"/>
        <v>#REF!</v>
      </c>
      <c r="Q1014" s="257" t="e">
        <f t="shared" si="1604"/>
        <v>#REF!</v>
      </c>
      <c r="R1014" s="257" t="e">
        <f t="shared" si="1603"/>
        <v>#REF!</v>
      </c>
      <c r="S1014" s="257" t="e">
        <f t="shared" si="1606"/>
        <v>#REF!</v>
      </c>
      <c r="T1014" s="257" t="e">
        <f t="shared" si="1607"/>
        <v>#REF!</v>
      </c>
      <c r="U1014" s="257" t="e">
        <f t="shared" si="1608"/>
        <v>#REF!</v>
      </c>
      <c r="V1014" s="257" t="e">
        <f t="shared" si="1609"/>
        <v>#REF!</v>
      </c>
      <c r="W1014" s="257" t="e">
        <f t="shared" si="1610"/>
        <v>#REF!</v>
      </c>
      <c r="X1014" s="257" t="e">
        <f t="shared" si="1611"/>
        <v>#REF!</v>
      </c>
      <c r="Y1014" s="257" t="e">
        <f t="shared" si="1612"/>
        <v>#REF!</v>
      </c>
      <c r="Z1014" s="257" t="e">
        <f t="shared" si="1613"/>
        <v>#REF!</v>
      </c>
    </row>
    <row r="1015" spans="1:26" ht="12.75" hidden="1" customHeight="1" x14ac:dyDescent="0.2">
      <c r="A1015" s="462" t="s">
        <v>142</v>
      </c>
      <c r="B1015" s="249">
        <v>815</v>
      </c>
      <c r="C1015" s="250" t="s">
        <v>200</v>
      </c>
      <c r="D1015" s="250" t="s">
        <v>194</v>
      </c>
      <c r="E1015" s="252" t="s">
        <v>330</v>
      </c>
      <c r="F1015" s="252"/>
      <c r="G1015" s="257"/>
      <c r="H1015" s="257"/>
      <c r="I1015" s="257" t="e">
        <f>#REF!+G1015</f>
        <v>#REF!</v>
      </c>
      <c r="J1015" s="257" t="e">
        <f t="shared" si="1605"/>
        <v>#REF!</v>
      </c>
      <c r="K1015" s="257" t="e">
        <f t="shared" si="1604"/>
        <v>#REF!</v>
      </c>
      <c r="L1015" s="257" t="e">
        <f t="shared" si="1604"/>
        <v>#REF!</v>
      </c>
      <c r="M1015" s="257" t="e">
        <f t="shared" si="1604"/>
        <v>#REF!</v>
      </c>
      <c r="N1015" s="257" t="e">
        <f t="shared" si="1604"/>
        <v>#REF!</v>
      </c>
      <c r="O1015" s="257" t="e">
        <f t="shared" si="1604"/>
        <v>#REF!</v>
      </c>
      <c r="P1015" s="257" t="e">
        <f t="shared" si="1604"/>
        <v>#REF!</v>
      </c>
      <c r="Q1015" s="257" t="e">
        <f t="shared" si="1604"/>
        <v>#REF!</v>
      </c>
      <c r="R1015" s="257" t="e">
        <f t="shared" si="1603"/>
        <v>#REF!</v>
      </c>
      <c r="S1015" s="257" t="e">
        <f t="shared" si="1606"/>
        <v>#REF!</v>
      </c>
      <c r="T1015" s="257" t="e">
        <f t="shared" si="1607"/>
        <v>#REF!</v>
      </c>
      <c r="U1015" s="257" t="e">
        <f t="shared" si="1608"/>
        <v>#REF!</v>
      </c>
      <c r="V1015" s="257" t="e">
        <f t="shared" si="1609"/>
        <v>#REF!</v>
      </c>
      <c r="W1015" s="257" t="e">
        <f t="shared" si="1610"/>
        <v>#REF!</v>
      </c>
      <c r="X1015" s="257" t="e">
        <f t="shared" si="1611"/>
        <v>#REF!</v>
      </c>
      <c r="Y1015" s="257" t="e">
        <f t="shared" si="1612"/>
        <v>#REF!</v>
      </c>
      <c r="Z1015" s="257" t="e">
        <f t="shared" si="1613"/>
        <v>#REF!</v>
      </c>
    </row>
    <row r="1016" spans="1:26" ht="51" hidden="1" customHeight="1" x14ac:dyDescent="0.2">
      <c r="A1016" s="259" t="s">
        <v>260</v>
      </c>
      <c r="B1016" s="271">
        <v>815</v>
      </c>
      <c r="C1016" s="252" t="s">
        <v>200</v>
      </c>
      <c r="D1016" s="252" t="s">
        <v>194</v>
      </c>
      <c r="E1016" s="252" t="s">
        <v>261</v>
      </c>
      <c r="F1016" s="250"/>
      <c r="G1016" s="257"/>
      <c r="H1016" s="257"/>
      <c r="I1016" s="257" t="e">
        <f>#REF!+G1016</f>
        <v>#REF!</v>
      </c>
      <c r="J1016" s="257" t="e">
        <f t="shared" si="1605"/>
        <v>#REF!</v>
      </c>
      <c r="K1016" s="257" t="e">
        <f t="shared" si="1604"/>
        <v>#REF!</v>
      </c>
      <c r="L1016" s="257" t="e">
        <f t="shared" si="1604"/>
        <v>#REF!</v>
      </c>
      <c r="M1016" s="257" t="e">
        <f t="shared" si="1604"/>
        <v>#REF!</v>
      </c>
      <c r="N1016" s="257" t="e">
        <f t="shared" si="1604"/>
        <v>#REF!</v>
      </c>
      <c r="O1016" s="257" t="e">
        <f t="shared" si="1604"/>
        <v>#REF!</v>
      </c>
      <c r="P1016" s="257" t="e">
        <f t="shared" ref="N1016:Q1035" si="1614">M1016+N1016</f>
        <v>#REF!</v>
      </c>
      <c r="Q1016" s="257" t="e">
        <f t="shared" si="1614"/>
        <v>#REF!</v>
      </c>
      <c r="R1016" s="257" t="e">
        <f t="shared" si="1603"/>
        <v>#REF!</v>
      </c>
      <c r="S1016" s="257" t="e">
        <f t="shared" si="1606"/>
        <v>#REF!</v>
      </c>
      <c r="T1016" s="257" t="e">
        <f t="shared" si="1607"/>
        <v>#REF!</v>
      </c>
      <c r="U1016" s="257" t="e">
        <f t="shared" si="1608"/>
        <v>#REF!</v>
      </c>
      <c r="V1016" s="257" t="e">
        <f t="shared" si="1609"/>
        <v>#REF!</v>
      </c>
      <c r="W1016" s="257" t="e">
        <f t="shared" si="1610"/>
        <v>#REF!</v>
      </c>
      <c r="X1016" s="257" t="e">
        <f t="shared" si="1611"/>
        <v>#REF!</v>
      </c>
      <c r="Y1016" s="257" t="e">
        <f t="shared" si="1612"/>
        <v>#REF!</v>
      </c>
      <c r="Z1016" s="257" t="e">
        <f t="shared" si="1613"/>
        <v>#REF!</v>
      </c>
    </row>
    <row r="1017" spans="1:26" ht="12.75" hidden="1" customHeight="1" x14ac:dyDescent="0.2">
      <c r="A1017" s="259" t="s">
        <v>320</v>
      </c>
      <c r="B1017" s="271">
        <v>815</v>
      </c>
      <c r="C1017" s="252" t="s">
        <v>200</v>
      </c>
      <c r="D1017" s="252" t="s">
        <v>194</v>
      </c>
      <c r="E1017" s="252" t="s">
        <v>261</v>
      </c>
      <c r="F1017" s="252" t="s">
        <v>321</v>
      </c>
      <c r="G1017" s="257"/>
      <c r="H1017" s="257"/>
      <c r="I1017" s="257" t="e">
        <f>#REF!+G1017</f>
        <v>#REF!</v>
      </c>
      <c r="J1017" s="257" t="e">
        <f t="shared" si="1605"/>
        <v>#REF!</v>
      </c>
      <c r="K1017" s="257" t="e">
        <f t="shared" ref="K1017:M1035" si="1615">H1017+I1017</f>
        <v>#REF!</v>
      </c>
      <c r="L1017" s="257" t="e">
        <f t="shared" si="1615"/>
        <v>#REF!</v>
      </c>
      <c r="M1017" s="257" t="e">
        <f t="shared" si="1615"/>
        <v>#REF!</v>
      </c>
      <c r="N1017" s="257" t="e">
        <f t="shared" si="1614"/>
        <v>#REF!</v>
      </c>
      <c r="O1017" s="257" t="e">
        <f t="shared" si="1614"/>
        <v>#REF!</v>
      </c>
      <c r="P1017" s="257" t="e">
        <f t="shared" si="1614"/>
        <v>#REF!</v>
      </c>
      <c r="Q1017" s="257" t="e">
        <f t="shared" si="1614"/>
        <v>#REF!</v>
      </c>
      <c r="R1017" s="257" t="e">
        <f t="shared" si="1603"/>
        <v>#REF!</v>
      </c>
      <c r="S1017" s="257" t="e">
        <f t="shared" si="1606"/>
        <v>#REF!</v>
      </c>
      <c r="T1017" s="257" t="e">
        <f t="shared" si="1607"/>
        <v>#REF!</v>
      </c>
      <c r="U1017" s="257" t="e">
        <f t="shared" si="1608"/>
        <v>#REF!</v>
      </c>
      <c r="V1017" s="257" t="e">
        <f t="shared" si="1609"/>
        <v>#REF!</v>
      </c>
      <c r="W1017" s="257" t="e">
        <f t="shared" si="1610"/>
        <v>#REF!</v>
      </c>
      <c r="X1017" s="257" t="e">
        <f t="shared" si="1611"/>
        <v>#REF!</v>
      </c>
      <c r="Y1017" s="257" t="e">
        <f t="shared" si="1612"/>
        <v>#REF!</v>
      </c>
      <c r="Z1017" s="257" t="e">
        <f t="shared" si="1613"/>
        <v>#REF!</v>
      </c>
    </row>
    <row r="1018" spans="1:26" ht="25.5" hidden="1" customHeight="1" x14ac:dyDescent="0.2">
      <c r="A1018" s="259" t="s">
        <v>262</v>
      </c>
      <c r="B1018" s="271">
        <v>815</v>
      </c>
      <c r="C1018" s="252" t="s">
        <v>200</v>
      </c>
      <c r="D1018" s="252" t="s">
        <v>194</v>
      </c>
      <c r="E1018" s="252" t="s">
        <v>263</v>
      </c>
      <c r="F1018" s="250"/>
      <c r="G1018" s="257"/>
      <c r="H1018" s="257"/>
      <c r="I1018" s="257" t="e">
        <f>#REF!+G1018</f>
        <v>#REF!</v>
      </c>
      <c r="J1018" s="257" t="e">
        <f t="shared" si="1605"/>
        <v>#REF!</v>
      </c>
      <c r="K1018" s="257" t="e">
        <f t="shared" si="1615"/>
        <v>#REF!</v>
      </c>
      <c r="L1018" s="257" t="e">
        <f t="shared" si="1615"/>
        <v>#REF!</v>
      </c>
      <c r="M1018" s="257" t="e">
        <f t="shared" si="1615"/>
        <v>#REF!</v>
      </c>
      <c r="N1018" s="257" t="e">
        <f t="shared" si="1614"/>
        <v>#REF!</v>
      </c>
      <c r="O1018" s="257" t="e">
        <f t="shared" si="1614"/>
        <v>#REF!</v>
      </c>
      <c r="P1018" s="257" t="e">
        <f t="shared" si="1614"/>
        <v>#REF!</v>
      </c>
      <c r="Q1018" s="257" t="e">
        <f t="shared" si="1614"/>
        <v>#REF!</v>
      </c>
      <c r="R1018" s="257" t="e">
        <f t="shared" si="1603"/>
        <v>#REF!</v>
      </c>
      <c r="S1018" s="257" t="e">
        <f t="shared" si="1606"/>
        <v>#REF!</v>
      </c>
      <c r="T1018" s="257" t="e">
        <f t="shared" si="1607"/>
        <v>#REF!</v>
      </c>
      <c r="U1018" s="257" t="e">
        <f t="shared" si="1608"/>
        <v>#REF!</v>
      </c>
      <c r="V1018" s="257" t="e">
        <f t="shared" si="1609"/>
        <v>#REF!</v>
      </c>
      <c r="W1018" s="257" t="e">
        <f t="shared" si="1610"/>
        <v>#REF!</v>
      </c>
      <c r="X1018" s="257" t="e">
        <f t="shared" si="1611"/>
        <v>#REF!</v>
      </c>
      <c r="Y1018" s="257" t="e">
        <f t="shared" si="1612"/>
        <v>#REF!</v>
      </c>
      <c r="Z1018" s="257" t="e">
        <f t="shared" si="1613"/>
        <v>#REF!</v>
      </c>
    </row>
    <row r="1019" spans="1:26" ht="12.75" hidden="1" customHeight="1" x14ac:dyDescent="0.2">
      <c r="A1019" s="259" t="s">
        <v>320</v>
      </c>
      <c r="B1019" s="271">
        <v>815</v>
      </c>
      <c r="C1019" s="252" t="s">
        <v>200</v>
      </c>
      <c r="D1019" s="252" t="s">
        <v>194</v>
      </c>
      <c r="E1019" s="252" t="s">
        <v>263</v>
      </c>
      <c r="F1019" s="252" t="s">
        <v>321</v>
      </c>
      <c r="G1019" s="257"/>
      <c r="H1019" s="257"/>
      <c r="I1019" s="257" t="e">
        <f>#REF!+G1019</f>
        <v>#REF!</v>
      </c>
      <c r="J1019" s="257" t="e">
        <f t="shared" si="1605"/>
        <v>#REF!</v>
      </c>
      <c r="K1019" s="257" t="e">
        <f t="shared" si="1615"/>
        <v>#REF!</v>
      </c>
      <c r="L1019" s="257" t="e">
        <f t="shared" si="1615"/>
        <v>#REF!</v>
      </c>
      <c r="M1019" s="257" t="e">
        <f t="shared" si="1615"/>
        <v>#REF!</v>
      </c>
      <c r="N1019" s="257" t="e">
        <f t="shared" si="1614"/>
        <v>#REF!</v>
      </c>
      <c r="O1019" s="257" t="e">
        <f t="shared" si="1614"/>
        <v>#REF!</v>
      </c>
      <c r="P1019" s="257" t="e">
        <f t="shared" si="1614"/>
        <v>#REF!</v>
      </c>
      <c r="Q1019" s="257" t="e">
        <f t="shared" si="1614"/>
        <v>#REF!</v>
      </c>
      <c r="R1019" s="257" t="e">
        <f t="shared" si="1603"/>
        <v>#REF!</v>
      </c>
      <c r="S1019" s="257" t="e">
        <f t="shared" si="1606"/>
        <v>#REF!</v>
      </c>
      <c r="T1019" s="257" t="e">
        <f t="shared" si="1607"/>
        <v>#REF!</v>
      </c>
      <c r="U1019" s="257" t="e">
        <f t="shared" si="1608"/>
        <v>#REF!</v>
      </c>
      <c r="V1019" s="257" t="e">
        <f t="shared" si="1609"/>
        <v>#REF!</v>
      </c>
      <c r="W1019" s="257" t="e">
        <f t="shared" si="1610"/>
        <v>#REF!</v>
      </c>
      <c r="X1019" s="257" t="e">
        <f t="shared" si="1611"/>
        <v>#REF!</v>
      </c>
      <c r="Y1019" s="257" t="e">
        <f t="shared" si="1612"/>
        <v>#REF!</v>
      </c>
      <c r="Z1019" s="257" t="e">
        <f t="shared" si="1613"/>
        <v>#REF!</v>
      </c>
    </row>
    <row r="1020" spans="1:26" ht="38.25" hidden="1" customHeight="1" x14ac:dyDescent="0.2">
      <c r="A1020" s="259" t="s">
        <v>264</v>
      </c>
      <c r="B1020" s="271">
        <v>815</v>
      </c>
      <c r="C1020" s="252" t="s">
        <v>200</v>
      </c>
      <c r="D1020" s="252" t="s">
        <v>194</v>
      </c>
      <c r="E1020" s="252" t="s">
        <v>265</v>
      </c>
      <c r="F1020" s="252"/>
      <c r="G1020" s="257"/>
      <c r="H1020" s="257"/>
      <c r="I1020" s="257" t="e">
        <f>#REF!+G1020</f>
        <v>#REF!</v>
      </c>
      <c r="J1020" s="257" t="e">
        <f t="shared" si="1605"/>
        <v>#REF!</v>
      </c>
      <c r="K1020" s="257" t="e">
        <f t="shared" si="1615"/>
        <v>#REF!</v>
      </c>
      <c r="L1020" s="257" t="e">
        <f t="shared" si="1615"/>
        <v>#REF!</v>
      </c>
      <c r="M1020" s="257" t="e">
        <f t="shared" si="1615"/>
        <v>#REF!</v>
      </c>
      <c r="N1020" s="257" t="e">
        <f t="shared" si="1614"/>
        <v>#REF!</v>
      </c>
      <c r="O1020" s="257" t="e">
        <f t="shared" si="1614"/>
        <v>#REF!</v>
      </c>
      <c r="P1020" s="257" t="e">
        <f t="shared" si="1614"/>
        <v>#REF!</v>
      </c>
      <c r="Q1020" s="257" t="e">
        <f t="shared" si="1614"/>
        <v>#REF!</v>
      </c>
      <c r="R1020" s="257" t="e">
        <f t="shared" si="1603"/>
        <v>#REF!</v>
      </c>
      <c r="S1020" s="257" t="e">
        <f t="shared" si="1606"/>
        <v>#REF!</v>
      </c>
      <c r="T1020" s="257" t="e">
        <f t="shared" si="1607"/>
        <v>#REF!</v>
      </c>
      <c r="U1020" s="257" t="e">
        <f t="shared" si="1608"/>
        <v>#REF!</v>
      </c>
      <c r="V1020" s="257" t="e">
        <f t="shared" si="1609"/>
        <v>#REF!</v>
      </c>
      <c r="W1020" s="257" t="e">
        <f t="shared" si="1610"/>
        <v>#REF!</v>
      </c>
      <c r="X1020" s="257" t="e">
        <f t="shared" si="1611"/>
        <v>#REF!</v>
      </c>
      <c r="Y1020" s="257" t="e">
        <f t="shared" si="1612"/>
        <v>#REF!</v>
      </c>
      <c r="Z1020" s="257" t="e">
        <f t="shared" si="1613"/>
        <v>#REF!</v>
      </c>
    </row>
    <row r="1021" spans="1:26" ht="12.75" hidden="1" customHeight="1" x14ac:dyDescent="0.2">
      <c r="A1021" s="259" t="s">
        <v>320</v>
      </c>
      <c r="B1021" s="271">
        <v>815</v>
      </c>
      <c r="C1021" s="252" t="s">
        <v>200</v>
      </c>
      <c r="D1021" s="252" t="s">
        <v>194</v>
      </c>
      <c r="E1021" s="252" t="s">
        <v>265</v>
      </c>
      <c r="F1021" s="252" t="s">
        <v>321</v>
      </c>
      <c r="G1021" s="257"/>
      <c r="H1021" s="257"/>
      <c r="I1021" s="257" t="e">
        <f>#REF!+G1021</f>
        <v>#REF!</v>
      </c>
      <c r="J1021" s="257" t="e">
        <f t="shared" si="1605"/>
        <v>#REF!</v>
      </c>
      <c r="K1021" s="257" t="e">
        <f t="shared" si="1615"/>
        <v>#REF!</v>
      </c>
      <c r="L1021" s="257" t="e">
        <f t="shared" si="1615"/>
        <v>#REF!</v>
      </c>
      <c r="M1021" s="257" t="e">
        <f t="shared" si="1615"/>
        <v>#REF!</v>
      </c>
      <c r="N1021" s="257" t="e">
        <f t="shared" si="1614"/>
        <v>#REF!</v>
      </c>
      <c r="O1021" s="257" t="e">
        <f t="shared" si="1614"/>
        <v>#REF!</v>
      </c>
      <c r="P1021" s="257" t="e">
        <f t="shared" si="1614"/>
        <v>#REF!</v>
      </c>
      <c r="Q1021" s="257" t="e">
        <f t="shared" si="1614"/>
        <v>#REF!</v>
      </c>
      <c r="R1021" s="257" t="e">
        <f t="shared" si="1603"/>
        <v>#REF!</v>
      </c>
      <c r="S1021" s="257" t="e">
        <f t="shared" si="1606"/>
        <v>#REF!</v>
      </c>
      <c r="T1021" s="257" t="e">
        <f t="shared" si="1607"/>
        <v>#REF!</v>
      </c>
      <c r="U1021" s="257" t="e">
        <f t="shared" si="1608"/>
        <v>#REF!</v>
      </c>
      <c r="V1021" s="257" t="e">
        <f t="shared" si="1609"/>
        <v>#REF!</v>
      </c>
      <c r="W1021" s="257" t="e">
        <f t="shared" si="1610"/>
        <v>#REF!</v>
      </c>
      <c r="X1021" s="257" t="e">
        <f t="shared" si="1611"/>
        <v>#REF!</v>
      </c>
      <c r="Y1021" s="257" t="e">
        <f t="shared" si="1612"/>
        <v>#REF!</v>
      </c>
      <c r="Z1021" s="257" t="e">
        <f t="shared" si="1613"/>
        <v>#REF!</v>
      </c>
    </row>
    <row r="1022" spans="1:26" ht="12.75" hidden="1" customHeight="1" x14ac:dyDescent="0.2">
      <c r="A1022" s="259" t="s">
        <v>95</v>
      </c>
      <c r="B1022" s="271">
        <v>801</v>
      </c>
      <c r="C1022" s="252" t="s">
        <v>205</v>
      </c>
      <c r="D1022" s="252" t="s">
        <v>192</v>
      </c>
      <c r="E1022" s="252" t="s">
        <v>5</v>
      </c>
      <c r="F1022" s="252" t="s">
        <v>96</v>
      </c>
      <c r="G1022" s="257"/>
      <c r="H1022" s="257"/>
      <c r="I1022" s="257" t="e">
        <f>#REF!+G1022</f>
        <v>#REF!</v>
      </c>
      <c r="J1022" s="257" t="e">
        <f t="shared" si="1605"/>
        <v>#REF!</v>
      </c>
      <c r="K1022" s="257" t="e">
        <f t="shared" si="1615"/>
        <v>#REF!</v>
      </c>
      <c r="L1022" s="257" t="e">
        <f t="shared" si="1615"/>
        <v>#REF!</v>
      </c>
      <c r="M1022" s="257" t="e">
        <f t="shared" si="1615"/>
        <v>#REF!</v>
      </c>
      <c r="N1022" s="257" t="e">
        <f t="shared" si="1614"/>
        <v>#REF!</v>
      </c>
      <c r="O1022" s="257" t="e">
        <f t="shared" si="1614"/>
        <v>#REF!</v>
      </c>
      <c r="P1022" s="257" t="e">
        <f t="shared" si="1614"/>
        <v>#REF!</v>
      </c>
      <c r="Q1022" s="257" t="e">
        <f t="shared" si="1614"/>
        <v>#REF!</v>
      </c>
      <c r="R1022" s="257" t="e">
        <f t="shared" si="1603"/>
        <v>#REF!</v>
      </c>
      <c r="S1022" s="257" t="e">
        <f t="shared" si="1606"/>
        <v>#REF!</v>
      </c>
      <c r="T1022" s="257" t="e">
        <f t="shared" si="1607"/>
        <v>#REF!</v>
      </c>
      <c r="U1022" s="257" t="e">
        <f t="shared" si="1608"/>
        <v>#REF!</v>
      </c>
      <c r="V1022" s="257" t="e">
        <f t="shared" si="1609"/>
        <v>#REF!</v>
      </c>
      <c r="W1022" s="257" t="e">
        <f t="shared" si="1610"/>
        <v>#REF!</v>
      </c>
      <c r="X1022" s="257" t="e">
        <f t="shared" si="1611"/>
        <v>#REF!</v>
      </c>
      <c r="Y1022" s="257" t="e">
        <f t="shared" si="1612"/>
        <v>#REF!</v>
      </c>
      <c r="Z1022" s="257" t="e">
        <f t="shared" si="1613"/>
        <v>#REF!</v>
      </c>
    </row>
    <row r="1023" spans="1:26" ht="12.75" hidden="1" customHeight="1" x14ac:dyDescent="0.2">
      <c r="A1023" s="259" t="s">
        <v>97</v>
      </c>
      <c r="B1023" s="271">
        <v>801</v>
      </c>
      <c r="C1023" s="252" t="s">
        <v>205</v>
      </c>
      <c r="D1023" s="252" t="s">
        <v>192</v>
      </c>
      <c r="E1023" s="252" t="s">
        <v>5</v>
      </c>
      <c r="F1023" s="252" t="s">
        <v>98</v>
      </c>
      <c r="G1023" s="257"/>
      <c r="H1023" s="257"/>
      <c r="I1023" s="257" t="e">
        <f>#REF!+G1023</f>
        <v>#REF!</v>
      </c>
      <c r="J1023" s="257" t="e">
        <f t="shared" si="1605"/>
        <v>#REF!</v>
      </c>
      <c r="K1023" s="257" t="e">
        <f t="shared" si="1615"/>
        <v>#REF!</v>
      </c>
      <c r="L1023" s="257" t="e">
        <f t="shared" si="1615"/>
        <v>#REF!</v>
      </c>
      <c r="M1023" s="257" t="e">
        <f t="shared" si="1615"/>
        <v>#REF!</v>
      </c>
      <c r="N1023" s="257" t="e">
        <f t="shared" si="1614"/>
        <v>#REF!</v>
      </c>
      <c r="O1023" s="257" t="e">
        <f t="shared" si="1614"/>
        <v>#REF!</v>
      </c>
      <c r="P1023" s="257" t="e">
        <f t="shared" si="1614"/>
        <v>#REF!</v>
      </c>
      <c r="Q1023" s="257" t="e">
        <f t="shared" si="1614"/>
        <v>#REF!</v>
      </c>
      <c r="R1023" s="257" t="e">
        <f t="shared" ref="R1023:R1039" si="1616">P1023+Q1023</f>
        <v>#REF!</v>
      </c>
      <c r="S1023" s="257" t="e">
        <f t="shared" si="1606"/>
        <v>#REF!</v>
      </c>
      <c r="T1023" s="257" t="e">
        <f t="shared" si="1607"/>
        <v>#REF!</v>
      </c>
      <c r="U1023" s="257" t="e">
        <f t="shared" si="1608"/>
        <v>#REF!</v>
      </c>
      <c r="V1023" s="257" t="e">
        <f t="shared" si="1609"/>
        <v>#REF!</v>
      </c>
      <c r="W1023" s="257" t="e">
        <f t="shared" si="1610"/>
        <v>#REF!</v>
      </c>
      <c r="X1023" s="257" t="e">
        <f t="shared" si="1611"/>
        <v>#REF!</v>
      </c>
      <c r="Y1023" s="257" t="e">
        <f t="shared" si="1612"/>
        <v>#REF!</v>
      </c>
      <c r="Z1023" s="257" t="e">
        <f t="shared" si="1613"/>
        <v>#REF!</v>
      </c>
    </row>
    <row r="1024" spans="1:26" ht="25.5" hidden="1" customHeight="1" x14ac:dyDescent="0.2">
      <c r="A1024" s="259" t="s">
        <v>99</v>
      </c>
      <c r="B1024" s="271">
        <v>801</v>
      </c>
      <c r="C1024" s="252" t="s">
        <v>205</v>
      </c>
      <c r="D1024" s="252" t="s">
        <v>192</v>
      </c>
      <c r="E1024" s="252" t="s">
        <v>5</v>
      </c>
      <c r="F1024" s="252" t="s">
        <v>100</v>
      </c>
      <c r="G1024" s="257"/>
      <c r="H1024" s="257"/>
      <c r="I1024" s="257" t="e">
        <f>#REF!+G1024</f>
        <v>#REF!</v>
      </c>
      <c r="J1024" s="257" t="e">
        <f t="shared" si="1605"/>
        <v>#REF!</v>
      </c>
      <c r="K1024" s="257" t="e">
        <f t="shared" si="1615"/>
        <v>#REF!</v>
      </c>
      <c r="L1024" s="257" t="e">
        <f t="shared" si="1615"/>
        <v>#REF!</v>
      </c>
      <c r="M1024" s="257" t="e">
        <f t="shared" si="1615"/>
        <v>#REF!</v>
      </c>
      <c r="N1024" s="257" t="e">
        <f t="shared" si="1614"/>
        <v>#REF!</v>
      </c>
      <c r="O1024" s="257" t="e">
        <f t="shared" si="1614"/>
        <v>#REF!</v>
      </c>
      <c r="P1024" s="257" t="e">
        <f t="shared" si="1614"/>
        <v>#REF!</v>
      </c>
      <c r="Q1024" s="257" t="e">
        <f t="shared" si="1614"/>
        <v>#REF!</v>
      </c>
      <c r="R1024" s="257" t="e">
        <f t="shared" si="1616"/>
        <v>#REF!</v>
      </c>
      <c r="S1024" s="257" t="e">
        <f t="shared" si="1606"/>
        <v>#REF!</v>
      </c>
      <c r="T1024" s="257" t="e">
        <f t="shared" si="1607"/>
        <v>#REF!</v>
      </c>
      <c r="U1024" s="257" t="e">
        <f t="shared" si="1608"/>
        <v>#REF!</v>
      </c>
      <c r="V1024" s="257" t="e">
        <f t="shared" si="1609"/>
        <v>#REF!</v>
      </c>
      <c r="W1024" s="257" t="e">
        <f t="shared" si="1610"/>
        <v>#REF!</v>
      </c>
      <c r="X1024" s="257" t="e">
        <f t="shared" si="1611"/>
        <v>#REF!</v>
      </c>
      <c r="Y1024" s="257" t="e">
        <f t="shared" si="1612"/>
        <v>#REF!</v>
      </c>
      <c r="Z1024" s="257" t="e">
        <f t="shared" si="1613"/>
        <v>#REF!</v>
      </c>
    </row>
    <row r="1025" spans="1:26" ht="25.5" hidden="1" customHeight="1" x14ac:dyDescent="0.2">
      <c r="A1025" s="259" t="s">
        <v>101</v>
      </c>
      <c r="B1025" s="271">
        <v>801</v>
      </c>
      <c r="C1025" s="252" t="s">
        <v>205</v>
      </c>
      <c r="D1025" s="252" t="s">
        <v>192</v>
      </c>
      <c r="E1025" s="252" t="s">
        <v>5</v>
      </c>
      <c r="F1025" s="252" t="s">
        <v>102</v>
      </c>
      <c r="G1025" s="257"/>
      <c r="H1025" s="257"/>
      <c r="I1025" s="257" t="e">
        <f>#REF!+G1025</f>
        <v>#REF!</v>
      </c>
      <c r="J1025" s="257" t="e">
        <f t="shared" si="1605"/>
        <v>#REF!</v>
      </c>
      <c r="K1025" s="257" t="e">
        <f t="shared" si="1615"/>
        <v>#REF!</v>
      </c>
      <c r="L1025" s="257" t="e">
        <f t="shared" si="1615"/>
        <v>#REF!</v>
      </c>
      <c r="M1025" s="257" t="e">
        <f t="shared" si="1615"/>
        <v>#REF!</v>
      </c>
      <c r="N1025" s="257" t="e">
        <f t="shared" si="1614"/>
        <v>#REF!</v>
      </c>
      <c r="O1025" s="257" t="e">
        <f t="shared" si="1614"/>
        <v>#REF!</v>
      </c>
      <c r="P1025" s="257" t="e">
        <f t="shared" si="1614"/>
        <v>#REF!</v>
      </c>
      <c r="Q1025" s="257" t="e">
        <f t="shared" si="1614"/>
        <v>#REF!</v>
      </c>
      <c r="R1025" s="257" t="e">
        <f t="shared" si="1616"/>
        <v>#REF!</v>
      </c>
      <c r="S1025" s="257" t="e">
        <f t="shared" si="1606"/>
        <v>#REF!</v>
      </c>
      <c r="T1025" s="257" t="e">
        <f t="shared" si="1607"/>
        <v>#REF!</v>
      </c>
      <c r="U1025" s="257" t="e">
        <f t="shared" si="1608"/>
        <v>#REF!</v>
      </c>
      <c r="V1025" s="257" t="e">
        <f t="shared" si="1609"/>
        <v>#REF!</v>
      </c>
      <c r="W1025" s="257" t="e">
        <f t="shared" si="1610"/>
        <v>#REF!</v>
      </c>
      <c r="X1025" s="257" t="e">
        <f t="shared" si="1611"/>
        <v>#REF!</v>
      </c>
      <c r="Y1025" s="257" t="e">
        <f t="shared" si="1612"/>
        <v>#REF!</v>
      </c>
      <c r="Z1025" s="257" t="e">
        <f t="shared" si="1613"/>
        <v>#REF!</v>
      </c>
    </row>
    <row r="1026" spans="1:26" ht="25.5" hidden="1" customHeight="1" x14ac:dyDescent="0.2">
      <c r="A1026" s="259" t="s">
        <v>93</v>
      </c>
      <c r="B1026" s="271">
        <v>801</v>
      </c>
      <c r="C1026" s="252" t="s">
        <v>205</v>
      </c>
      <c r="D1026" s="252" t="s">
        <v>192</v>
      </c>
      <c r="E1026" s="252" t="s">
        <v>5</v>
      </c>
      <c r="F1026" s="252" t="s">
        <v>94</v>
      </c>
      <c r="G1026" s="257"/>
      <c r="H1026" s="257"/>
      <c r="I1026" s="257" t="e">
        <f>#REF!+G1026</f>
        <v>#REF!</v>
      </c>
      <c r="J1026" s="257" t="e">
        <f t="shared" si="1605"/>
        <v>#REF!</v>
      </c>
      <c r="K1026" s="257" t="e">
        <f t="shared" si="1615"/>
        <v>#REF!</v>
      </c>
      <c r="L1026" s="257" t="e">
        <f t="shared" si="1615"/>
        <v>#REF!</v>
      </c>
      <c r="M1026" s="257" t="e">
        <f t="shared" si="1615"/>
        <v>#REF!</v>
      </c>
      <c r="N1026" s="257" t="e">
        <f t="shared" si="1614"/>
        <v>#REF!</v>
      </c>
      <c r="O1026" s="257" t="e">
        <f t="shared" si="1614"/>
        <v>#REF!</v>
      </c>
      <c r="P1026" s="257" t="e">
        <f t="shared" si="1614"/>
        <v>#REF!</v>
      </c>
      <c r="Q1026" s="257" t="e">
        <f t="shared" si="1614"/>
        <v>#REF!</v>
      </c>
      <c r="R1026" s="257" t="e">
        <f t="shared" si="1616"/>
        <v>#REF!</v>
      </c>
      <c r="S1026" s="257" t="e">
        <f t="shared" si="1606"/>
        <v>#REF!</v>
      </c>
      <c r="T1026" s="257" t="e">
        <f t="shared" si="1607"/>
        <v>#REF!</v>
      </c>
      <c r="U1026" s="257" t="e">
        <f t="shared" si="1608"/>
        <v>#REF!</v>
      </c>
      <c r="V1026" s="257" t="e">
        <f t="shared" si="1609"/>
        <v>#REF!</v>
      </c>
      <c r="W1026" s="257" t="e">
        <f t="shared" si="1610"/>
        <v>#REF!</v>
      </c>
      <c r="X1026" s="257" t="e">
        <f t="shared" si="1611"/>
        <v>#REF!</v>
      </c>
      <c r="Y1026" s="257" t="e">
        <f t="shared" si="1612"/>
        <v>#REF!</v>
      </c>
      <c r="Z1026" s="257" t="e">
        <f t="shared" si="1613"/>
        <v>#REF!</v>
      </c>
    </row>
    <row r="1027" spans="1:26" ht="30" hidden="1" x14ac:dyDescent="0.2">
      <c r="A1027" s="259" t="s">
        <v>76</v>
      </c>
      <c r="B1027" s="271">
        <v>801</v>
      </c>
      <c r="C1027" s="252" t="s">
        <v>205</v>
      </c>
      <c r="D1027" s="252" t="s">
        <v>192</v>
      </c>
      <c r="E1027" s="252" t="s">
        <v>5</v>
      </c>
      <c r="F1027" s="252" t="s">
        <v>77</v>
      </c>
      <c r="G1027" s="257"/>
      <c r="H1027" s="257"/>
      <c r="I1027" s="257" t="e">
        <f>#REF!+G1027</f>
        <v>#REF!</v>
      </c>
      <c r="J1027" s="257" t="e">
        <f t="shared" si="1605"/>
        <v>#REF!</v>
      </c>
      <c r="K1027" s="257" t="e">
        <f t="shared" si="1615"/>
        <v>#REF!</v>
      </c>
      <c r="L1027" s="257" t="e">
        <f t="shared" si="1615"/>
        <v>#REF!</v>
      </c>
      <c r="M1027" s="257" t="e">
        <f t="shared" si="1615"/>
        <v>#REF!</v>
      </c>
      <c r="N1027" s="257" t="e">
        <f t="shared" si="1614"/>
        <v>#REF!</v>
      </c>
      <c r="O1027" s="257" t="e">
        <f t="shared" si="1614"/>
        <v>#REF!</v>
      </c>
      <c r="P1027" s="257" t="e">
        <f t="shared" si="1614"/>
        <v>#REF!</v>
      </c>
      <c r="Q1027" s="257" t="e">
        <f t="shared" si="1614"/>
        <v>#REF!</v>
      </c>
      <c r="R1027" s="257" t="e">
        <f t="shared" si="1616"/>
        <v>#REF!</v>
      </c>
      <c r="S1027" s="257" t="e">
        <f t="shared" si="1606"/>
        <v>#REF!</v>
      </c>
      <c r="T1027" s="257" t="e">
        <f t="shared" si="1607"/>
        <v>#REF!</v>
      </c>
      <c r="U1027" s="257" t="e">
        <f t="shared" si="1608"/>
        <v>#REF!</v>
      </c>
      <c r="V1027" s="257" t="e">
        <f t="shared" si="1609"/>
        <v>#REF!</v>
      </c>
      <c r="W1027" s="257" t="e">
        <f t="shared" si="1610"/>
        <v>#REF!</v>
      </c>
      <c r="X1027" s="257" t="e">
        <f t="shared" si="1611"/>
        <v>#REF!</v>
      </c>
      <c r="Y1027" s="257" t="e">
        <f t="shared" si="1612"/>
        <v>#REF!</v>
      </c>
      <c r="Z1027" s="257" t="e">
        <f t="shared" si="1613"/>
        <v>#REF!</v>
      </c>
    </row>
    <row r="1028" spans="1:26" ht="12.75" hidden="1" customHeight="1" x14ac:dyDescent="0.2">
      <c r="A1028" s="259" t="s">
        <v>78</v>
      </c>
      <c r="B1028" s="271">
        <v>801</v>
      </c>
      <c r="C1028" s="252" t="s">
        <v>205</v>
      </c>
      <c r="D1028" s="252" t="s">
        <v>192</v>
      </c>
      <c r="E1028" s="252" t="s">
        <v>5</v>
      </c>
      <c r="F1028" s="252" t="s">
        <v>79</v>
      </c>
      <c r="G1028" s="257"/>
      <c r="H1028" s="257"/>
      <c r="I1028" s="257" t="e">
        <f>#REF!+G1028</f>
        <v>#REF!</v>
      </c>
      <c r="J1028" s="257" t="e">
        <f t="shared" si="1605"/>
        <v>#REF!</v>
      </c>
      <c r="K1028" s="257" t="e">
        <f>#REF!+I1028</f>
        <v>#REF!</v>
      </c>
      <c r="L1028" s="257" t="e">
        <f t="shared" si="1615"/>
        <v>#REF!</v>
      </c>
      <c r="M1028" s="257" t="e">
        <f t="shared" si="1615"/>
        <v>#REF!</v>
      </c>
      <c r="N1028" s="257" t="e">
        <f t="shared" si="1614"/>
        <v>#REF!</v>
      </c>
      <c r="O1028" s="257" t="e">
        <f t="shared" si="1614"/>
        <v>#REF!</v>
      </c>
      <c r="P1028" s="257" t="e">
        <f t="shared" si="1614"/>
        <v>#REF!</v>
      </c>
      <c r="Q1028" s="257" t="e">
        <f t="shared" si="1614"/>
        <v>#REF!</v>
      </c>
      <c r="R1028" s="257" t="e">
        <f t="shared" si="1616"/>
        <v>#REF!</v>
      </c>
      <c r="S1028" s="257" t="e">
        <f t="shared" si="1606"/>
        <v>#REF!</v>
      </c>
      <c r="T1028" s="257" t="e">
        <f t="shared" si="1607"/>
        <v>#REF!</v>
      </c>
      <c r="U1028" s="257" t="e">
        <f t="shared" si="1608"/>
        <v>#REF!</v>
      </c>
      <c r="V1028" s="257" t="e">
        <f t="shared" si="1609"/>
        <v>#REF!</v>
      </c>
      <c r="W1028" s="257" t="e">
        <f t="shared" si="1610"/>
        <v>#REF!</v>
      </c>
      <c r="X1028" s="257" t="e">
        <f t="shared" si="1611"/>
        <v>#REF!</v>
      </c>
      <c r="Y1028" s="257" t="e">
        <f t="shared" si="1612"/>
        <v>#REF!</v>
      </c>
      <c r="Z1028" s="257" t="e">
        <f t="shared" si="1613"/>
        <v>#REF!</v>
      </c>
    </row>
    <row r="1029" spans="1:26" ht="12.75" hidden="1" customHeight="1" x14ac:dyDescent="0.2">
      <c r="A1029" s="259" t="s">
        <v>103</v>
      </c>
      <c r="B1029" s="271">
        <v>801</v>
      </c>
      <c r="C1029" s="252" t="s">
        <v>205</v>
      </c>
      <c r="D1029" s="252" t="s">
        <v>192</v>
      </c>
      <c r="E1029" s="252" t="s">
        <v>5</v>
      </c>
      <c r="F1029" s="252" t="s">
        <v>104</v>
      </c>
      <c r="G1029" s="257"/>
      <c r="H1029" s="257"/>
      <c r="I1029" s="257" t="e">
        <f>#REF!+G1029</f>
        <v>#REF!</v>
      </c>
      <c r="J1029" s="257" t="e">
        <f t="shared" si="1605"/>
        <v>#REF!</v>
      </c>
      <c r="K1029" s="257" t="e">
        <f>#REF!+I1029</f>
        <v>#REF!</v>
      </c>
      <c r="L1029" s="257" t="e">
        <f t="shared" si="1615"/>
        <v>#REF!</v>
      </c>
      <c r="M1029" s="257" t="e">
        <f t="shared" si="1615"/>
        <v>#REF!</v>
      </c>
      <c r="N1029" s="257" t="e">
        <f t="shared" si="1614"/>
        <v>#REF!</v>
      </c>
      <c r="O1029" s="257" t="e">
        <f t="shared" si="1614"/>
        <v>#REF!</v>
      </c>
      <c r="P1029" s="257" t="e">
        <f t="shared" si="1614"/>
        <v>#REF!</v>
      </c>
      <c r="Q1029" s="257" t="e">
        <f t="shared" si="1614"/>
        <v>#REF!</v>
      </c>
      <c r="R1029" s="257" t="e">
        <f t="shared" si="1616"/>
        <v>#REF!</v>
      </c>
      <c r="S1029" s="257" t="e">
        <f t="shared" si="1606"/>
        <v>#REF!</v>
      </c>
      <c r="T1029" s="257" t="e">
        <f t="shared" si="1607"/>
        <v>#REF!</v>
      </c>
      <c r="U1029" s="257" t="e">
        <f t="shared" si="1608"/>
        <v>#REF!</v>
      </c>
      <c r="V1029" s="257" t="e">
        <f t="shared" si="1609"/>
        <v>#REF!</v>
      </c>
      <c r="W1029" s="257" t="e">
        <f t="shared" si="1610"/>
        <v>#REF!</v>
      </c>
      <c r="X1029" s="257" t="e">
        <f t="shared" si="1611"/>
        <v>#REF!</v>
      </c>
      <c r="Y1029" s="257" t="e">
        <f t="shared" si="1612"/>
        <v>#REF!</v>
      </c>
      <c r="Z1029" s="257" t="e">
        <f t="shared" si="1613"/>
        <v>#REF!</v>
      </c>
    </row>
    <row r="1030" spans="1:26" ht="12.75" hidden="1" customHeight="1" x14ac:dyDescent="0.2">
      <c r="A1030" s="259" t="s">
        <v>105</v>
      </c>
      <c r="B1030" s="271">
        <v>801</v>
      </c>
      <c r="C1030" s="252" t="s">
        <v>205</v>
      </c>
      <c r="D1030" s="252" t="s">
        <v>192</v>
      </c>
      <c r="E1030" s="252" t="s">
        <v>5</v>
      </c>
      <c r="F1030" s="252" t="s">
        <v>106</v>
      </c>
      <c r="G1030" s="257"/>
      <c r="H1030" s="257"/>
      <c r="I1030" s="257" t="e">
        <f>#REF!+G1030</f>
        <v>#REF!</v>
      </c>
      <c r="J1030" s="257" t="e">
        <f t="shared" si="1605"/>
        <v>#REF!</v>
      </c>
      <c r="K1030" s="257" t="e">
        <f>#REF!+I1030</f>
        <v>#REF!</v>
      </c>
      <c r="L1030" s="257" t="e">
        <f t="shared" si="1615"/>
        <v>#REF!</v>
      </c>
      <c r="M1030" s="257" t="e">
        <f t="shared" si="1615"/>
        <v>#REF!</v>
      </c>
      <c r="N1030" s="257" t="e">
        <f t="shared" si="1614"/>
        <v>#REF!</v>
      </c>
      <c r="O1030" s="257" t="e">
        <f t="shared" si="1614"/>
        <v>#REF!</v>
      </c>
      <c r="P1030" s="257" t="e">
        <f t="shared" si="1614"/>
        <v>#REF!</v>
      </c>
      <c r="Q1030" s="257" t="e">
        <f t="shared" si="1614"/>
        <v>#REF!</v>
      </c>
      <c r="R1030" s="257" t="e">
        <f t="shared" si="1616"/>
        <v>#REF!</v>
      </c>
      <c r="S1030" s="257" t="e">
        <f t="shared" si="1606"/>
        <v>#REF!</v>
      </c>
      <c r="T1030" s="257" t="e">
        <f t="shared" si="1607"/>
        <v>#REF!</v>
      </c>
      <c r="U1030" s="257" t="e">
        <f t="shared" si="1608"/>
        <v>#REF!</v>
      </c>
      <c r="V1030" s="257" t="e">
        <f t="shared" si="1609"/>
        <v>#REF!</v>
      </c>
      <c r="W1030" s="257" t="e">
        <f t="shared" si="1610"/>
        <v>#REF!</v>
      </c>
      <c r="X1030" s="257" t="e">
        <f t="shared" si="1611"/>
        <v>#REF!</v>
      </c>
      <c r="Y1030" s="257" t="e">
        <f t="shared" si="1612"/>
        <v>#REF!</v>
      </c>
      <c r="Z1030" s="257" t="e">
        <f t="shared" si="1613"/>
        <v>#REF!</v>
      </c>
    </row>
    <row r="1031" spans="1:26" ht="12.75" hidden="1" customHeight="1" x14ac:dyDescent="0.2">
      <c r="A1031" s="528" t="s">
        <v>149</v>
      </c>
      <c r="B1031" s="526"/>
      <c r="C1031" s="526"/>
      <c r="D1031" s="526"/>
      <c r="E1031" s="526"/>
      <c r="F1031" s="526"/>
      <c r="G1031" s="257"/>
      <c r="H1031" s="257"/>
      <c r="I1031" s="257" t="e">
        <f>#REF!+G1031</f>
        <v>#REF!</v>
      </c>
      <c r="J1031" s="257" t="e">
        <f t="shared" si="1605"/>
        <v>#REF!</v>
      </c>
      <c r="K1031" s="257" t="e">
        <f>#REF!+I1031</f>
        <v>#REF!</v>
      </c>
      <c r="L1031" s="257" t="e">
        <f t="shared" si="1615"/>
        <v>#REF!</v>
      </c>
      <c r="M1031" s="257" t="e">
        <f t="shared" si="1615"/>
        <v>#REF!</v>
      </c>
      <c r="N1031" s="257" t="e">
        <f t="shared" si="1614"/>
        <v>#REF!</v>
      </c>
      <c r="O1031" s="257" t="e">
        <f t="shared" si="1614"/>
        <v>#REF!</v>
      </c>
      <c r="P1031" s="257" t="e">
        <f t="shared" si="1614"/>
        <v>#REF!</v>
      </c>
      <c r="Q1031" s="257" t="e">
        <f t="shared" si="1614"/>
        <v>#REF!</v>
      </c>
      <c r="R1031" s="257" t="e">
        <f t="shared" si="1616"/>
        <v>#REF!</v>
      </c>
      <c r="S1031" s="257" t="e">
        <f t="shared" si="1606"/>
        <v>#REF!</v>
      </c>
      <c r="T1031" s="257" t="e">
        <f t="shared" si="1607"/>
        <v>#REF!</v>
      </c>
      <c r="U1031" s="257" t="e">
        <f t="shared" si="1608"/>
        <v>#REF!</v>
      </c>
      <c r="V1031" s="257" t="e">
        <f t="shared" si="1609"/>
        <v>#REF!</v>
      </c>
      <c r="W1031" s="257" t="e">
        <f t="shared" si="1610"/>
        <v>#REF!</v>
      </c>
      <c r="X1031" s="257" t="e">
        <f t="shared" si="1611"/>
        <v>#REF!</v>
      </c>
      <c r="Y1031" s="257" t="e">
        <f t="shared" si="1612"/>
        <v>#REF!</v>
      </c>
      <c r="Z1031" s="257" t="e">
        <f t="shared" si="1613"/>
        <v>#REF!</v>
      </c>
    </row>
    <row r="1032" spans="1:26" hidden="1" x14ac:dyDescent="0.2">
      <c r="A1032" s="259" t="s">
        <v>404</v>
      </c>
      <c r="B1032" s="271">
        <v>801</v>
      </c>
      <c r="C1032" s="252" t="s">
        <v>205</v>
      </c>
      <c r="D1032" s="252" t="s">
        <v>192</v>
      </c>
      <c r="E1032" s="252" t="s">
        <v>62</v>
      </c>
      <c r="F1032" s="252"/>
      <c r="G1032" s="257"/>
      <c r="H1032" s="257"/>
      <c r="I1032" s="257" t="e">
        <f>I1035</f>
        <v>#REF!</v>
      </c>
      <c r="J1032" s="257" t="e">
        <f t="shared" si="1605"/>
        <v>#REF!</v>
      </c>
      <c r="K1032" s="257" t="e">
        <f>K1035</f>
        <v>#REF!</v>
      </c>
      <c r="L1032" s="257" t="e">
        <f t="shared" si="1615"/>
        <v>#REF!</v>
      </c>
      <c r="M1032" s="257" t="e">
        <f t="shared" si="1615"/>
        <v>#REF!</v>
      </c>
      <c r="N1032" s="257" t="e">
        <f t="shared" si="1614"/>
        <v>#REF!</v>
      </c>
      <c r="O1032" s="257" t="e">
        <f t="shared" si="1614"/>
        <v>#REF!</v>
      </c>
      <c r="P1032" s="257" t="e">
        <f t="shared" si="1614"/>
        <v>#REF!</v>
      </c>
      <c r="Q1032" s="257" t="e">
        <f t="shared" si="1614"/>
        <v>#REF!</v>
      </c>
      <c r="R1032" s="257" t="e">
        <f t="shared" si="1616"/>
        <v>#REF!</v>
      </c>
      <c r="S1032" s="257" t="e">
        <f t="shared" si="1606"/>
        <v>#REF!</v>
      </c>
      <c r="T1032" s="257" t="e">
        <f t="shared" si="1607"/>
        <v>#REF!</v>
      </c>
      <c r="U1032" s="257" t="e">
        <f t="shared" si="1608"/>
        <v>#REF!</v>
      </c>
      <c r="V1032" s="257" t="e">
        <f t="shared" si="1609"/>
        <v>#REF!</v>
      </c>
      <c r="W1032" s="257" t="e">
        <f t="shared" si="1610"/>
        <v>#REF!</v>
      </c>
      <c r="X1032" s="257" t="e">
        <f t="shared" si="1611"/>
        <v>#REF!</v>
      </c>
      <c r="Y1032" s="257" t="e">
        <f t="shared" si="1612"/>
        <v>#REF!</v>
      </c>
      <c r="Z1032" s="257" t="e">
        <f t="shared" si="1613"/>
        <v>#REF!</v>
      </c>
    </row>
    <row r="1033" spans="1:26" hidden="1" x14ac:dyDescent="0.2">
      <c r="A1033" s="259" t="s">
        <v>547</v>
      </c>
      <c r="B1033" s="271">
        <v>801</v>
      </c>
      <c r="C1033" s="252" t="s">
        <v>205</v>
      </c>
      <c r="D1033" s="252" t="s">
        <v>192</v>
      </c>
      <c r="E1033" s="252" t="s">
        <v>173</v>
      </c>
      <c r="F1033" s="252"/>
      <c r="G1033" s="257"/>
      <c r="H1033" s="257"/>
      <c r="I1033" s="257" t="e">
        <f>I1034</f>
        <v>#REF!</v>
      </c>
      <c r="J1033" s="257" t="e">
        <f t="shared" si="1605"/>
        <v>#REF!</v>
      </c>
      <c r="K1033" s="257" t="e">
        <f>K1034</f>
        <v>#REF!</v>
      </c>
      <c r="L1033" s="257" t="e">
        <f t="shared" si="1615"/>
        <v>#REF!</v>
      </c>
      <c r="M1033" s="257" t="e">
        <f t="shared" si="1615"/>
        <v>#REF!</v>
      </c>
      <c r="N1033" s="257" t="e">
        <f t="shared" si="1614"/>
        <v>#REF!</v>
      </c>
      <c r="O1033" s="257" t="e">
        <f t="shared" si="1614"/>
        <v>#REF!</v>
      </c>
      <c r="P1033" s="257" t="e">
        <f t="shared" si="1614"/>
        <v>#REF!</v>
      </c>
      <c r="Q1033" s="257" t="e">
        <f t="shared" si="1614"/>
        <v>#REF!</v>
      </c>
      <c r="R1033" s="257" t="e">
        <f t="shared" si="1616"/>
        <v>#REF!</v>
      </c>
      <c r="S1033" s="257" t="e">
        <f t="shared" si="1606"/>
        <v>#REF!</v>
      </c>
      <c r="T1033" s="257" t="e">
        <f t="shared" si="1607"/>
        <v>#REF!</v>
      </c>
      <c r="U1033" s="257" t="e">
        <f t="shared" si="1608"/>
        <v>#REF!</v>
      </c>
      <c r="V1033" s="257" t="e">
        <f t="shared" si="1609"/>
        <v>#REF!</v>
      </c>
      <c r="W1033" s="257" t="e">
        <f t="shared" si="1610"/>
        <v>#REF!</v>
      </c>
      <c r="X1033" s="257" t="e">
        <f t="shared" si="1611"/>
        <v>#REF!</v>
      </c>
      <c r="Y1033" s="257" t="e">
        <f t="shared" si="1612"/>
        <v>#REF!</v>
      </c>
      <c r="Z1033" s="257" t="e">
        <f t="shared" si="1613"/>
        <v>#REF!</v>
      </c>
    </row>
    <row r="1034" spans="1:26" hidden="1" x14ac:dyDescent="0.2">
      <c r="A1034" s="259" t="s">
        <v>93</v>
      </c>
      <c r="B1034" s="271">
        <v>801</v>
      </c>
      <c r="C1034" s="252" t="s">
        <v>205</v>
      </c>
      <c r="D1034" s="252" t="s">
        <v>192</v>
      </c>
      <c r="E1034" s="252" t="s">
        <v>173</v>
      </c>
      <c r="F1034" s="252" t="s">
        <v>94</v>
      </c>
      <c r="G1034" s="257"/>
      <c r="H1034" s="257"/>
      <c r="I1034" s="257" t="e">
        <f>#REF!+G1034</f>
        <v>#REF!</v>
      </c>
      <c r="J1034" s="257" t="e">
        <f t="shared" si="1605"/>
        <v>#REF!</v>
      </c>
      <c r="K1034" s="257" t="e">
        <f>H1034+I1034</f>
        <v>#REF!</v>
      </c>
      <c r="L1034" s="257" t="e">
        <f t="shared" si="1615"/>
        <v>#REF!</v>
      </c>
      <c r="M1034" s="257" t="e">
        <f t="shared" si="1615"/>
        <v>#REF!</v>
      </c>
      <c r="N1034" s="257" t="e">
        <f t="shared" si="1614"/>
        <v>#REF!</v>
      </c>
      <c r="O1034" s="257" t="e">
        <f t="shared" si="1614"/>
        <v>#REF!</v>
      </c>
      <c r="P1034" s="257" t="e">
        <f t="shared" si="1614"/>
        <v>#REF!</v>
      </c>
      <c r="Q1034" s="257" t="e">
        <f t="shared" si="1614"/>
        <v>#REF!</v>
      </c>
      <c r="R1034" s="257" t="e">
        <f t="shared" si="1616"/>
        <v>#REF!</v>
      </c>
      <c r="S1034" s="257" t="e">
        <f t="shared" si="1606"/>
        <v>#REF!</v>
      </c>
      <c r="T1034" s="257" t="e">
        <f t="shared" si="1607"/>
        <v>#REF!</v>
      </c>
      <c r="U1034" s="257" t="e">
        <f t="shared" si="1608"/>
        <v>#REF!</v>
      </c>
      <c r="V1034" s="257" t="e">
        <f t="shared" si="1609"/>
        <v>#REF!</v>
      </c>
      <c r="W1034" s="257" t="e">
        <f t="shared" si="1610"/>
        <v>#REF!</v>
      </c>
      <c r="X1034" s="257" t="e">
        <f t="shared" si="1611"/>
        <v>#REF!</v>
      </c>
      <c r="Y1034" s="257" t="e">
        <f t="shared" si="1612"/>
        <v>#REF!</v>
      </c>
      <c r="Z1034" s="257" t="e">
        <f t="shared" si="1613"/>
        <v>#REF!</v>
      </c>
    </row>
    <row r="1035" spans="1:26" ht="21" hidden="1" customHeight="1" x14ac:dyDescent="0.2">
      <c r="A1035" s="259" t="s">
        <v>421</v>
      </c>
      <c r="B1035" s="271">
        <v>801</v>
      </c>
      <c r="C1035" s="252" t="s">
        <v>205</v>
      </c>
      <c r="D1035" s="252" t="s">
        <v>192</v>
      </c>
      <c r="E1035" s="252" t="s">
        <v>429</v>
      </c>
      <c r="F1035" s="252"/>
      <c r="G1035" s="257"/>
      <c r="H1035" s="257"/>
      <c r="I1035" s="257" t="e">
        <f>#REF!</f>
        <v>#REF!</v>
      </c>
      <c r="J1035" s="257" t="e">
        <f t="shared" si="1605"/>
        <v>#REF!</v>
      </c>
      <c r="K1035" s="257" t="e">
        <f>#REF!</f>
        <v>#REF!</v>
      </c>
      <c r="L1035" s="257" t="e">
        <f t="shared" si="1615"/>
        <v>#REF!</v>
      </c>
      <c r="M1035" s="257" t="e">
        <f t="shared" si="1615"/>
        <v>#REF!</v>
      </c>
      <c r="N1035" s="257" t="e">
        <f t="shared" si="1614"/>
        <v>#REF!</v>
      </c>
      <c r="O1035" s="257" t="e">
        <f t="shared" si="1614"/>
        <v>#REF!</v>
      </c>
      <c r="P1035" s="257" t="e">
        <f t="shared" si="1614"/>
        <v>#REF!</v>
      </c>
      <c r="Q1035" s="257" t="e">
        <f t="shared" si="1614"/>
        <v>#REF!</v>
      </c>
      <c r="R1035" s="257" t="e">
        <f t="shared" si="1616"/>
        <v>#REF!</v>
      </c>
      <c r="S1035" s="257" t="e">
        <f t="shared" si="1606"/>
        <v>#REF!</v>
      </c>
      <c r="T1035" s="257" t="e">
        <f t="shared" si="1607"/>
        <v>#REF!</v>
      </c>
      <c r="U1035" s="257" t="e">
        <f t="shared" si="1608"/>
        <v>#REF!</v>
      </c>
      <c r="V1035" s="257" t="e">
        <f t="shared" si="1609"/>
        <v>#REF!</v>
      </c>
      <c r="W1035" s="257" t="e">
        <f t="shared" si="1610"/>
        <v>#REF!</v>
      </c>
      <c r="X1035" s="257" t="e">
        <f t="shared" si="1611"/>
        <v>#REF!</v>
      </c>
      <c r="Y1035" s="257" t="e">
        <f t="shared" si="1612"/>
        <v>#REF!</v>
      </c>
      <c r="Z1035" s="257" t="e">
        <f t="shared" si="1613"/>
        <v>#REF!</v>
      </c>
    </row>
    <row r="1036" spans="1:26" ht="30" customHeight="1" x14ac:dyDescent="0.2">
      <c r="A1036" s="259" t="s">
        <v>76</v>
      </c>
      <c r="B1036" s="271">
        <v>801</v>
      </c>
      <c r="C1036" s="252" t="s">
        <v>205</v>
      </c>
      <c r="D1036" s="252" t="s">
        <v>192</v>
      </c>
      <c r="E1036" s="252" t="s">
        <v>786</v>
      </c>
      <c r="F1036" s="252" t="s">
        <v>77</v>
      </c>
      <c r="G1036" s="257"/>
      <c r="H1036" s="257">
        <v>2384</v>
      </c>
      <c r="I1036" s="257">
        <v>232.27</v>
      </c>
      <c r="J1036" s="257">
        <f t="shared" si="1605"/>
        <v>2616.27</v>
      </c>
      <c r="K1036" s="257">
        <v>0</v>
      </c>
      <c r="L1036" s="257">
        <v>3390</v>
      </c>
      <c r="M1036" s="257">
        <v>3390</v>
      </c>
      <c r="N1036" s="257">
        <v>506</v>
      </c>
      <c r="O1036" s="257">
        <f>M1036+N1036</f>
        <v>3896</v>
      </c>
      <c r="P1036" s="257">
        <v>3896</v>
      </c>
      <c r="Q1036" s="257">
        <v>0</v>
      </c>
      <c r="R1036" s="257">
        <f t="shared" si="1616"/>
        <v>3896</v>
      </c>
      <c r="S1036" s="257">
        <f>-1388</f>
        <v>-1388</v>
      </c>
      <c r="T1036" s="257">
        <v>2508</v>
      </c>
      <c r="U1036" s="257">
        <v>376</v>
      </c>
      <c r="V1036" s="257">
        <v>2508</v>
      </c>
      <c r="W1036" s="257">
        <v>523</v>
      </c>
      <c r="X1036" s="257">
        <v>3464</v>
      </c>
      <c r="Y1036" s="257">
        <v>165</v>
      </c>
      <c r="Z1036" s="257">
        <f t="shared" si="1613"/>
        <v>3629</v>
      </c>
    </row>
    <row r="1037" spans="1:26" ht="30" customHeight="1" x14ac:dyDescent="0.2">
      <c r="A1037" s="259" t="s">
        <v>76</v>
      </c>
      <c r="B1037" s="271">
        <v>801</v>
      </c>
      <c r="C1037" s="252" t="s">
        <v>205</v>
      </c>
      <c r="D1037" s="252" t="s">
        <v>192</v>
      </c>
      <c r="E1037" s="252" t="s">
        <v>1289</v>
      </c>
      <c r="F1037" s="252" t="s">
        <v>77</v>
      </c>
      <c r="G1037" s="257"/>
      <c r="H1037" s="257"/>
      <c r="I1037" s="257"/>
      <c r="J1037" s="257"/>
      <c r="K1037" s="257"/>
      <c r="L1037" s="257"/>
      <c r="M1037" s="257"/>
      <c r="N1037" s="257"/>
      <c r="O1037" s="257"/>
      <c r="P1037" s="257"/>
      <c r="Q1037" s="257"/>
      <c r="R1037" s="257">
        <v>0</v>
      </c>
      <c r="S1037" s="257">
        <f>580</f>
        <v>580</v>
      </c>
      <c r="T1037" s="257">
        <v>580</v>
      </c>
      <c r="U1037" s="257">
        <v>0</v>
      </c>
      <c r="V1037" s="257">
        <v>0</v>
      </c>
      <c r="W1037" s="257">
        <v>580</v>
      </c>
      <c r="X1037" s="257">
        <v>0</v>
      </c>
      <c r="Y1037" s="257">
        <v>400</v>
      </c>
      <c r="Z1037" s="257">
        <f t="shared" si="1613"/>
        <v>400</v>
      </c>
    </row>
    <row r="1038" spans="1:26" ht="34.5" customHeight="1" x14ac:dyDescent="0.2">
      <c r="A1038" s="259" t="s">
        <v>76</v>
      </c>
      <c r="B1038" s="271">
        <v>801</v>
      </c>
      <c r="C1038" s="252" t="s">
        <v>205</v>
      </c>
      <c r="D1038" s="252" t="s">
        <v>192</v>
      </c>
      <c r="E1038" s="252" t="s">
        <v>1103</v>
      </c>
      <c r="F1038" s="252" t="s">
        <v>77</v>
      </c>
      <c r="G1038" s="257"/>
      <c r="H1038" s="257">
        <v>0</v>
      </c>
      <c r="I1038" s="257">
        <v>120</v>
      </c>
      <c r="J1038" s="257">
        <f>H1038+I1038</f>
        <v>120</v>
      </c>
      <c r="K1038" s="257">
        <v>220</v>
      </c>
      <c r="L1038" s="257">
        <v>0</v>
      </c>
      <c r="M1038" s="257">
        <v>0</v>
      </c>
      <c r="N1038" s="257">
        <v>0</v>
      </c>
      <c r="O1038" s="257">
        <f t="shared" ref="O1038:O1039" si="1617">M1038+N1038</f>
        <v>0</v>
      </c>
      <c r="P1038" s="257">
        <v>0</v>
      </c>
      <c r="Q1038" s="257">
        <v>0</v>
      </c>
      <c r="R1038" s="257">
        <f t="shared" si="1616"/>
        <v>0</v>
      </c>
      <c r="S1038" s="257">
        <v>955</v>
      </c>
      <c r="T1038" s="257">
        <f>955+955</f>
        <v>1910</v>
      </c>
      <c r="U1038" s="257">
        <v>-927</v>
      </c>
      <c r="V1038" s="257">
        <v>1910</v>
      </c>
      <c r="W1038" s="257">
        <v>-927</v>
      </c>
      <c r="X1038" s="257">
        <v>1910</v>
      </c>
      <c r="Y1038" s="257">
        <v>-710</v>
      </c>
      <c r="Z1038" s="257">
        <f t="shared" si="1613"/>
        <v>1200</v>
      </c>
    </row>
    <row r="1039" spans="1:26" x14ac:dyDescent="0.2">
      <c r="A1039" s="259" t="s">
        <v>290</v>
      </c>
      <c r="B1039" s="252"/>
      <c r="C1039" s="252" t="s">
        <v>291</v>
      </c>
      <c r="D1039" s="252" t="s">
        <v>291</v>
      </c>
      <c r="E1039" s="252" t="s">
        <v>968</v>
      </c>
      <c r="F1039" s="252" t="s">
        <v>266</v>
      </c>
      <c r="G1039" s="257"/>
      <c r="H1039" s="257">
        <v>0</v>
      </c>
      <c r="I1039" s="257">
        <v>0</v>
      </c>
      <c r="J1039" s="257">
        <v>0</v>
      </c>
      <c r="K1039" s="257">
        <v>0</v>
      </c>
      <c r="L1039" s="257">
        <v>5652</v>
      </c>
      <c r="M1039" s="257">
        <v>11379.8</v>
      </c>
      <c r="N1039" s="257">
        <f>-5621.8+305</f>
        <v>-5316.8</v>
      </c>
      <c r="O1039" s="257">
        <f t="shared" si="1617"/>
        <v>6062.9999999999991</v>
      </c>
      <c r="P1039" s="257">
        <v>12235.7</v>
      </c>
      <c r="Q1039" s="257">
        <v>-5611</v>
      </c>
      <c r="R1039" s="257">
        <f t="shared" si="1616"/>
        <v>6624.7000000000007</v>
      </c>
      <c r="S1039" s="257">
        <v>-6624.7</v>
      </c>
      <c r="T1039" s="257">
        <v>6891.37</v>
      </c>
      <c r="U1039" s="257">
        <v>-6891.37</v>
      </c>
      <c r="V1039" s="257">
        <v>7071.03</v>
      </c>
      <c r="W1039" s="257">
        <v>-7071.03</v>
      </c>
      <c r="X1039" s="257">
        <v>8244.6854999999996</v>
      </c>
      <c r="Y1039" s="257">
        <v>-8244.69</v>
      </c>
      <c r="Z1039" s="257">
        <f t="shared" si="1613"/>
        <v>-4.5000000009167707E-3</v>
      </c>
    </row>
    <row r="1040" spans="1:26" s="433" customFormat="1" ht="15.75" x14ac:dyDescent="0.2">
      <c r="A1040" s="450" t="s">
        <v>267</v>
      </c>
      <c r="B1040" s="451"/>
      <c r="C1040" s="452"/>
      <c r="D1040" s="452"/>
      <c r="E1040" s="452"/>
      <c r="F1040" s="452"/>
      <c r="G1040" s="447"/>
      <c r="H1040" s="447" t="e">
        <f>H10+H112+H334+H466+H518</f>
        <v>#REF!</v>
      </c>
      <c r="I1040" s="447" t="e">
        <f>I10+I112+I334+I466+I518</f>
        <v>#REF!</v>
      </c>
      <c r="J1040" s="447" t="e">
        <f>J10+J112+J334+J466+J518</f>
        <v>#REF!</v>
      </c>
      <c r="K1040" s="447" t="e">
        <f>K10+K112+K334+K466+K518</f>
        <v>#REF!</v>
      </c>
      <c r="L1040" s="447" t="e">
        <f t="shared" ref="L1040:Z1040" si="1618">L10+L112+L334+L466+L518+L1039</f>
        <v>#REF!</v>
      </c>
      <c r="M1040" s="447" t="e">
        <f t="shared" si="1618"/>
        <v>#REF!</v>
      </c>
      <c r="N1040" s="447" t="e">
        <f t="shared" si="1618"/>
        <v>#REF!</v>
      </c>
      <c r="O1040" s="447" t="e">
        <f t="shared" si="1618"/>
        <v>#REF!</v>
      </c>
      <c r="P1040" s="447" t="e">
        <f t="shared" si="1618"/>
        <v>#REF!</v>
      </c>
      <c r="Q1040" s="447" t="e">
        <f t="shared" si="1618"/>
        <v>#REF!</v>
      </c>
      <c r="R1040" s="447" t="e">
        <f t="shared" si="1618"/>
        <v>#REF!</v>
      </c>
      <c r="S1040" s="447" t="e">
        <f t="shared" si="1618"/>
        <v>#REF!</v>
      </c>
      <c r="T1040" s="447" t="e">
        <f t="shared" si="1618"/>
        <v>#REF!</v>
      </c>
      <c r="U1040" s="447" t="e">
        <f t="shared" si="1618"/>
        <v>#REF!</v>
      </c>
      <c r="V1040" s="447" t="e">
        <f t="shared" si="1618"/>
        <v>#REF!</v>
      </c>
      <c r="W1040" s="447" t="e">
        <f t="shared" si="1618"/>
        <v>#REF!</v>
      </c>
      <c r="X1040" s="447">
        <f t="shared" si="1618"/>
        <v>717836.54000000015</v>
      </c>
      <c r="Y1040" s="447">
        <f t="shared" si="1618"/>
        <v>283967.74999999994</v>
      </c>
      <c r="Z1040" s="447">
        <f t="shared" si="1618"/>
        <v>1001804.2900000002</v>
      </c>
    </row>
    <row r="1041" spans="1:24" ht="12.75" hidden="1" customHeight="1" x14ac:dyDescent="0.2"/>
    <row r="1042" spans="1:24" s="434" customFormat="1" ht="12.75" hidden="1" customHeight="1" x14ac:dyDescent="0.2">
      <c r="A1042" s="22"/>
      <c r="B1042" s="23"/>
      <c r="C1042" s="23"/>
      <c r="D1042" s="23"/>
      <c r="E1042" s="23"/>
      <c r="F1042" s="23"/>
      <c r="G1042" s="23"/>
      <c r="H1042" s="23"/>
      <c r="I1042" s="23"/>
      <c r="J1042" s="23"/>
      <c r="N1042" s="383"/>
      <c r="O1042" s="383"/>
      <c r="P1042" s="383"/>
      <c r="Q1042" s="383"/>
      <c r="R1042" s="383"/>
      <c r="S1042" s="383"/>
      <c r="T1042" s="383"/>
      <c r="U1042" s="383"/>
      <c r="V1042" s="383"/>
      <c r="W1042" s="429"/>
      <c r="X1042" s="429"/>
    </row>
    <row r="1043" spans="1:24" s="434" customFormat="1" ht="12.75" hidden="1" customHeight="1" x14ac:dyDescent="0.2">
      <c r="A1043" s="22"/>
      <c r="B1043" s="23"/>
      <c r="C1043" s="23"/>
      <c r="D1043" s="23"/>
      <c r="E1043" s="23"/>
      <c r="F1043" s="23"/>
      <c r="G1043" s="23"/>
      <c r="H1043" s="23"/>
      <c r="I1043" s="23"/>
      <c r="J1043" s="23"/>
      <c r="N1043" s="383"/>
      <c r="O1043" s="383"/>
      <c r="P1043" s="383"/>
      <c r="Q1043" s="383"/>
      <c r="R1043" s="383"/>
      <c r="S1043" s="383"/>
      <c r="T1043" s="383"/>
      <c r="U1043" s="383"/>
      <c r="V1043" s="383"/>
      <c r="W1043" s="429"/>
      <c r="X1043" s="429"/>
    </row>
    <row r="1044" spans="1:24" s="434" customFormat="1" ht="12.75" hidden="1" customHeight="1" x14ac:dyDescent="0.2">
      <c r="A1044" s="22"/>
      <c r="B1044" s="23"/>
      <c r="C1044" s="23"/>
      <c r="D1044" s="23"/>
      <c r="E1044" s="23"/>
      <c r="F1044" s="23"/>
      <c r="G1044" s="23"/>
      <c r="H1044" s="23"/>
      <c r="I1044" s="23"/>
      <c r="J1044" s="23"/>
      <c r="N1044" s="383"/>
      <c r="O1044" s="383"/>
      <c r="P1044" s="383"/>
      <c r="Q1044" s="383"/>
      <c r="R1044" s="383"/>
      <c r="S1044" s="383"/>
      <c r="T1044" s="383"/>
      <c r="U1044" s="383"/>
      <c r="V1044" s="383"/>
      <c r="W1044" s="429"/>
      <c r="X1044" s="429"/>
    </row>
    <row r="1045" spans="1:24" s="435" customFormat="1" ht="12.75" hidden="1" customHeight="1" x14ac:dyDescent="0.2">
      <c r="A1045" s="24"/>
      <c r="B1045" s="25"/>
      <c r="C1045" s="25"/>
      <c r="D1045" s="25"/>
      <c r="E1045" s="25"/>
      <c r="F1045" s="25"/>
      <c r="G1045" s="25"/>
      <c r="H1045" s="25"/>
      <c r="I1045" s="25"/>
      <c r="J1045" s="25"/>
      <c r="N1045" s="384"/>
      <c r="O1045" s="384"/>
      <c r="P1045" s="384"/>
      <c r="Q1045" s="384"/>
      <c r="R1045" s="384"/>
      <c r="S1045" s="384"/>
      <c r="T1045" s="384"/>
      <c r="U1045" s="384"/>
      <c r="V1045" s="384"/>
      <c r="W1045" s="427"/>
      <c r="X1045" s="427"/>
    </row>
    <row r="1046" spans="1:24" s="435" customFormat="1" ht="12.75" hidden="1" customHeight="1" x14ac:dyDescent="0.2">
      <c r="A1046" s="24"/>
      <c r="B1046" s="527"/>
      <c r="C1046" s="26"/>
      <c r="D1046" s="26"/>
      <c r="E1046" s="26"/>
      <c r="F1046" s="26"/>
      <c r="G1046" s="25"/>
      <c r="H1046" s="25"/>
      <c r="I1046" s="25"/>
      <c r="J1046" s="25"/>
      <c r="N1046" s="384"/>
      <c r="O1046" s="384"/>
      <c r="P1046" s="384"/>
      <c r="Q1046" s="384"/>
      <c r="R1046" s="384"/>
      <c r="S1046" s="384"/>
      <c r="T1046" s="384"/>
      <c r="U1046" s="384"/>
      <c r="V1046" s="384"/>
      <c r="W1046" s="427"/>
      <c r="X1046" s="427"/>
    </row>
    <row r="1047" spans="1:24" s="435" customFormat="1" ht="12.75" hidden="1" customHeight="1" x14ac:dyDescent="0.2">
      <c r="A1047" s="24"/>
      <c r="B1047" s="527"/>
      <c r="C1047" s="26"/>
      <c r="D1047" s="26"/>
      <c r="E1047" s="26"/>
      <c r="F1047" s="26"/>
      <c r="G1047" s="25"/>
      <c r="H1047" s="25"/>
      <c r="I1047" s="25"/>
      <c r="J1047" s="25"/>
      <c r="N1047" s="384"/>
      <c r="O1047" s="384"/>
      <c r="P1047" s="384"/>
      <c r="Q1047" s="384"/>
      <c r="R1047" s="384"/>
      <c r="S1047" s="384"/>
      <c r="T1047" s="384"/>
      <c r="U1047" s="384"/>
      <c r="V1047" s="384"/>
      <c r="W1047" s="427"/>
      <c r="X1047" s="427"/>
    </row>
    <row r="1048" spans="1:24" s="435" customFormat="1" ht="12.75" hidden="1" customHeight="1" x14ac:dyDescent="0.2">
      <c r="A1048" s="24"/>
      <c r="B1048" s="527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384"/>
      <c r="O1048" s="384"/>
      <c r="P1048" s="384"/>
      <c r="Q1048" s="384"/>
      <c r="R1048" s="384"/>
      <c r="S1048" s="384"/>
      <c r="T1048" s="384"/>
      <c r="U1048" s="384"/>
      <c r="V1048" s="384"/>
      <c r="W1048" s="427"/>
      <c r="X1048" s="427"/>
    </row>
    <row r="1049" spans="1:24" s="435" customFormat="1" ht="12.75" hidden="1" customHeight="1" x14ac:dyDescent="0.2">
      <c r="A1049" s="24"/>
      <c r="B1049" s="527"/>
      <c r="C1049" s="29"/>
      <c r="D1049" s="29"/>
      <c r="E1049" s="26"/>
      <c r="F1049" s="26"/>
      <c r="G1049" s="26"/>
      <c r="H1049" s="26"/>
      <c r="I1049" s="26"/>
      <c r="J1049" s="26"/>
      <c r="K1049" s="26"/>
      <c r="L1049" s="26"/>
      <c r="M1049" s="26"/>
      <c r="N1049" s="384"/>
      <c r="O1049" s="384"/>
      <c r="P1049" s="384"/>
      <c r="Q1049" s="384"/>
      <c r="R1049" s="384"/>
      <c r="S1049" s="384"/>
      <c r="T1049" s="384"/>
      <c r="U1049" s="384"/>
      <c r="V1049" s="384"/>
      <c r="W1049" s="427"/>
      <c r="X1049" s="427"/>
    </row>
    <row r="1050" spans="1:24" s="435" customFormat="1" ht="12.75" hidden="1" customHeight="1" x14ac:dyDescent="0.2">
      <c r="A1050" s="24"/>
      <c r="B1050" s="527"/>
      <c r="C1050" s="29"/>
      <c r="D1050" s="29"/>
      <c r="E1050" s="26"/>
      <c r="F1050" s="26"/>
      <c r="G1050" s="26"/>
      <c r="H1050" s="26"/>
      <c r="I1050" s="26"/>
      <c r="J1050" s="26"/>
      <c r="K1050" s="26"/>
      <c r="L1050" s="26"/>
      <c r="M1050" s="26"/>
      <c r="N1050" s="384"/>
      <c r="O1050" s="384"/>
      <c r="P1050" s="384"/>
      <c r="Q1050" s="384"/>
      <c r="R1050" s="384"/>
      <c r="S1050" s="384"/>
      <c r="T1050" s="384"/>
      <c r="U1050" s="384"/>
      <c r="V1050" s="384"/>
      <c r="W1050" s="427"/>
      <c r="X1050" s="427"/>
    </row>
    <row r="1051" spans="1:24" s="435" customFormat="1" ht="12.75" hidden="1" customHeight="1" x14ac:dyDescent="0.2">
      <c r="A1051" s="24"/>
      <c r="B1051" s="527"/>
      <c r="C1051" s="27"/>
      <c r="D1051" s="27"/>
      <c r="E1051" s="26"/>
      <c r="F1051" s="26"/>
      <c r="G1051" s="29"/>
      <c r="H1051" s="29"/>
      <c r="I1051" s="29"/>
      <c r="J1051" s="29"/>
      <c r="K1051" s="26"/>
      <c r="L1051" s="26"/>
      <c r="M1051" s="26"/>
      <c r="N1051" s="384"/>
      <c r="O1051" s="384"/>
      <c r="P1051" s="384"/>
      <c r="Q1051" s="384"/>
      <c r="R1051" s="384"/>
      <c r="S1051" s="384"/>
      <c r="T1051" s="384"/>
      <c r="U1051" s="384"/>
      <c r="V1051" s="384"/>
      <c r="W1051" s="427"/>
      <c r="X1051" s="427"/>
    </row>
    <row r="1052" spans="1:24" s="435" customFormat="1" ht="12.75" hidden="1" customHeight="1" x14ac:dyDescent="0.2">
      <c r="A1052" s="24"/>
      <c r="B1052" s="527"/>
      <c r="C1052" s="27"/>
      <c r="D1052" s="27"/>
      <c r="E1052" s="26"/>
      <c r="F1052" s="26"/>
      <c r="G1052" s="29"/>
      <c r="H1052" s="29"/>
      <c r="I1052" s="29"/>
      <c r="J1052" s="29"/>
      <c r="K1052" s="26"/>
      <c r="L1052" s="26"/>
      <c r="M1052" s="26"/>
      <c r="N1052" s="384"/>
      <c r="O1052" s="384"/>
      <c r="P1052" s="384"/>
      <c r="Q1052" s="384"/>
      <c r="R1052" s="384"/>
      <c r="S1052" s="384"/>
      <c r="T1052" s="384"/>
      <c r="U1052" s="384"/>
      <c r="V1052" s="384"/>
      <c r="W1052" s="427"/>
      <c r="X1052" s="427"/>
    </row>
    <row r="1053" spans="1:24" ht="12.75" hidden="1" customHeight="1" x14ac:dyDescent="0.2">
      <c r="B1053" s="27"/>
      <c r="C1053" s="28"/>
      <c r="D1053" s="28"/>
      <c r="E1053" s="27"/>
      <c r="F1053" s="27"/>
      <c r="G1053" s="27"/>
      <c r="H1053" s="27"/>
      <c r="I1053" s="27"/>
      <c r="J1053" s="27"/>
      <c r="K1053" s="26"/>
      <c r="L1053" s="26"/>
      <c r="M1053" s="26"/>
    </row>
    <row r="1054" spans="1:24" ht="12.75" hidden="1" customHeight="1" x14ac:dyDescent="0.2">
      <c r="B1054" s="527"/>
      <c r="C1054" s="26"/>
      <c r="D1054" s="26"/>
      <c r="E1054" s="27"/>
      <c r="F1054" s="27"/>
      <c r="G1054" s="27"/>
      <c r="H1054" s="27"/>
      <c r="I1054" s="27"/>
      <c r="J1054" s="27"/>
      <c r="K1054" s="26"/>
      <c r="L1054" s="26"/>
      <c r="M1054" s="26"/>
    </row>
    <row r="1055" spans="1:24" ht="12.75" hidden="1" customHeight="1" x14ac:dyDescent="0.2">
      <c r="B1055" s="527"/>
      <c r="C1055" s="26"/>
      <c r="D1055" s="26"/>
      <c r="E1055" s="27"/>
      <c r="F1055" s="27"/>
      <c r="G1055" s="28"/>
      <c r="H1055" s="28"/>
      <c r="I1055" s="28"/>
      <c r="J1055" s="28"/>
      <c r="K1055" s="28"/>
      <c r="L1055" s="28"/>
      <c r="M1055" s="28"/>
    </row>
    <row r="1056" spans="1:24" ht="12.75" hidden="1" customHeight="1" x14ac:dyDescent="0.2">
      <c r="B1056" s="527"/>
      <c r="C1056" s="26"/>
      <c r="D1056" s="26"/>
      <c r="E1056" s="27"/>
      <c r="F1056" s="27"/>
      <c r="G1056" s="26"/>
      <c r="H1056" s="26"/>
      <c r="I1056" s="26"/>
      <c r="J1056" s="26"/>
      <c r="K1056" s="28"/>
      <c r="L1056" s="28"/>
      <c r="M1056" s="28"/>
    </row>
    <row r="1057" spans="1:13" ht="12.75" hidden="1" customHeight="1" x14ac:dyDescent="0.2">
      <c r="B1057" s="527"/>
      <c r="C1057" s="26"/>
      <c r="D1057" s="27"/>
      <c r="E1057" s="27"/>
      <c r="F1057" s="27"/>
      <c r="G1057" s="26"/>
      <c r="H1057" s="26"/>
      <c r="I1057" s="26"/>
      <c r="J1057" s="26"/>
      <c r="K1057" s="28"/>
      <c r="L1057" s="28"/>
      <c r="M1057" s="28"/>
    </row>
    <row r="1058" spans="1:13" ht="12.75" hidden="1" customHeight="1" x14ac:dyDescent="0.2">
      <c r="B1058" s="527"/>
      <c r="C1058" s="29"/>
      <c r="D1058" s="26"/>
      <c r="E1058" s="27"/>
      <c r="F1058" s="27"/>
      <c r="G1058" s="26"/>
      <c r="H1058" s="26"/>
      <c r="I1058" s="26"/>
      <c r="J1058" s="26"/>
      <c r="K1058" s="28"/>
      <c r="L1058" s="28"/>
      <c r="M1058" s="28"/>
    </row>
    <row r="1059" spans="1:13" ht="12.75" hidden="1" customHeight="1" x14ac:dyDescent="0.2">
      <c r="B1059" s="527"/>
      <c r="C1059" s="27"/>
      <c r="D1059" s="29"/>
      <c r="E1059" s="27"/>
      <c r="F1059" s="27"/>
      <c r="G1059" s="27"/>
      <c r="H1059" s="27"/>
      <c r="I1059" s="27"/>
      <c r="J1059" s="27"/>
      <c r="K1059" s="28"/>
      <c r="L1059" s="28"/>
      <c r="M1059" s="28"/>
    </row>
    <row r="1060" spans="1:13" ht="12.75" hidden="1" customHeight="1" x14ac:dyDescent="0.2">
      <c r="A1060" s="16"/>
      <c r="B1060" s="527"/>
      <c r="C1060" s="29"/>
      <c r="D1060" s="27"/>
      <c r="E1060" s="27"/>
      <c r="F1060" s="27"/>
      <c r="G1060" s="26"/>
      <c r="H1060" s="26"/>
      <c r="I1060" s="26"/>
      <c r="J1060" s="26"/>
      <c r="K1060" s="28"/>
      <c r="L1060" s="28"/>
      <c r="M1060" s="28"/>
    </row>
    <row r="1061" spans="1:13" ht="12.75" hidden="1" customHeight="1" x14ac:dyDescent="0.2">
      <c r="A1061" s="16"/>
      <c r="B1061" s="527"/>
      <c r="C1061" s="27"/>
      <c r="D1061" s="28"/>
      <c r="E1061" s="27"/>
      <c r="F1061" s="27"/>
      <c r="G1061" s="29"/>
      <c r="H1061" s="29"/>
      <c r="I1061" s="29"/>
      <c r="J1061" s="29"/>
      <c r="K1061" s="28"/>
      <c r="L1061" s="28"/>
      <c r="M1061" s="28"/>
    </row>
    <row r="1062" spans="1:13" ht="12.75" hidden="1" customHeight="1" x14ac:dyDescent="0.2">
      <c r="A1062" s="16"/>
      <c r="G1062" s="27"/>
      <c r="H1062" s="27"/>
      <c r="I1062" s="27"/>
      <c r="J1062" s="27"/>
      <c r="K1062" s="436"/>
      <c r="L1062" s="436"/>
      <c r="M1062" s="436"/>
    </row>
    <row r="1063" spans="1:13" ht="12.75" hidden="1" customHeight="1" x14ac:dyDescent="0.2">
      <c r="A1063" s="16"/>
      <c r="G1063" s="28"/>
      <c r="H1063" s="28"/>
      <c r="I1063" s="28"/>
      <c r="J1063" s="28"/>
      <c r="K1063" s="436"/>
      <c r="L1063" s="436"/>
      <c r="M1063" s="436"/>
    </row>
    <row r="1064" spans="1:13" ht="12.75" hidden="1" customHeight="1" x14ac:dyDescent="0.2">
      <c r="A1064" s="16"/>
    </row>
    <row r="1065" spans="1:13" ht="12.75" hidden="1" customHeight="1" x14ac:dyDescent="0.2">
      <c r="A1065" s="16"/>
    </row>
    <row r="1066" spans="1:13" ht="12.75" hidden="1" customHeight="1" x14ac:dyDescent="0.2">
      <c r="A1066" s="16"/>
    </row>
    <row r="1067" spans="1:13" ht="12.75" hidden="1" customHeight="1" x14ac:dyDescent="0.2">
      <c r="A1067" s="16"/>
    </row>
    <row r="1068" spans="1:13" ht="12.75" hidden="1" customHeight="1" x14ac:dyDescent="0.2">
      <c r="A1068" s="16"/>
    </row>
    <row r="1069" spans="1:13" ht="12.75" hidden="1" customHeight="1" x14ac:dyDescent="0.2">
      <c r="A1069" s="16"/>
    </row>
    <row r="1070" spans="1:13" ht="12.75" hidden="1" customHeight="1" x14ac:dyDescent="0.2">
      <c r="A1070" s="16"/>
    </row>
    <row r="1071" spans="1:13" hidden="1" x14ac:dyDescent="0.2"/>
    <row r="1072" spans="1:13" hidden="1" x14ac:dyDescent="0.2">
      <c r="G1072" s="286" t="e">
        <f>#REF!+#REF!+#REF!+#REF!+#REF!+#REF!+#REF!+#REF!+#REF!+#REF!+#REF!+#REF!+#REF!+#REF!+#REF!+#REF!</f>
        <v>#REF!</v>
      </c>
      <c r="H1072" s="286"/>
      <c r="I1072" s="286" t="s">
        <v>714</v>
      </c>
      <c r="J1072" s="286">
        <v>378982.07</v>
      </c>
    </row>
    <row r="1073" spans="1:10" hidden="1" x14ac:dyDescent="0.2">
      <c r="G1073" s="286" t="e">
        <f>#REF!+#REF!+#REF!+#REF!+#REF!</f>
        <v>#REF!</v>
      </c>
      <c r="H1073" s="286"/>
      <c r="I1073" s="286" t="s">
        <v>713</v>
      </c>
      <c r="J1073" s="286">
        <f>J1072*3/100</f>
        <v>11369.462099999999</v>
      </c>
    </row>
    <row r="1074" spans="1:10" hidden="1" x14ac:dyDescent="0.2">
      <c r="I1074" s="463" t="s">
        <v>715</v>
      </c>
      <c r="J1074" s="463" t="e">
        <f>J1072-J1040</f>
        <v>#REF!</v>
      </c>
    </row>
    <row r="1075" spans="1:10" hidden="1" x14ac:dyDescent="0.2">
      <c r="A1075" s="16"/>
      <c r="C1075" s="463"/>
      <c r="D1075" s="463"/>
      <c r="E1075" s="463"/>
      <c r="F1075" s="463"/>
      <c r="G1075" s="286" t="e">
        <f>G1072+G1073</f>
        <v>#REF!</v>
      </c>
      <c r="H1075" s="286"/>
      <c r="I1075" s="286"/>
      <c r="J1075" s="286"/>
    </row>
    <row r="1076" spans="1:10" hidden="1" x14ac:dyDescent="0.2">
      <c r="A1076" s="16"/>
      <c r="C1076" s="463"/>
      <c r="D1076" s="463"/>
      <c r="E1076" s="463"/>
      <c r="F1076" s="463"/>
      <c r="G1076" s="286" t="e">
        <f>#REF!-G1075</f>
        <v>#REF!</v>
      </c>
      <c r="H1076" s="286"/>
      <c r="I1076" s="286"/>
      <c r="J1076" s="286"/>
    </row>
    <row r="1077" spans="1:10" hidden="1" x14ac:dyDescent="0.2">
      <c r="A1077" s="16"/>
      <c r="C1077" s="463"/>
      <c r="D1077" s="463"/>
      <c r="E1077" s="463"/>
      <c r="F1077" s="463"/>
    </row>
    <row r="1078" spans="1:10" hidden="1" x14ac:dyDescent="0.2">
      <c r="A1078" s="16"/>
      <c r="C1078" s="463"/>
      <c r="D1078" s="463"/>
      <c r="E1078" s="463"/>
      <c r="F1078" s="463"/>
    </row>
    <row r="1079" spans="1:10" hidden="1" x14ac:dyDescent="0.2">
      <c r="A1079" s="16"/>
      <c r="C1079" s="463"/>
      <c r="D1079" s="463"/>
      <c r="E1079" s="463"/>
      <c r="F1079" s="463"/>
    </row>
    <row r="1080" spans="1:10" hidden="1" x14ac:dyDescent="0.2"/>
    <row r="1081" spans="1:10" hidden="1" x14ac:dyDescent="0.2">
      <c r="G1081" s="463">
        <v>178599.7</v>
      </c>
    </row>
    <row r="1082" spans="1:10" hidden="1" x14ac:dyDescent="0.2">
      <c r="G1082" s="286" t="e">
        <f>G1075-G1081</f>
        <v>#REF!</v>
      </c>
      <c r="H1082" s="286"/>
      <c r="I1082" s="286"/>
      <c r="J1082" s="286"/>
    </row>
    <row r="1083" spans="1:10" hidden="1" x14ac:dyDescent="0.2"/>
    <row r="1084" spans="1:10" hidden="1" x14ac:dyDescent="0.2">
      <c r="A1084" s="16"/>
      <c r="C1084" s="463"/>
      <c r="D1084" s="463"/>
      <c r="E1084" s="463"/>
      <c r="F1084" s="463"/>
      <c r="J1084" s="463" t="e">
        <f>J1085-J1040</f>
        <v>#REF!</v>
      </c>
    </row>
    <row r="1085" spans="1:10" hidden="1" x14ac:dyDescent="0.2">
      <c r="A1085" s="16"/>
      <c r="C1085" s="463"/>
      <c r="D1085" s="463"/>
      <c r="E1085" s="463"/>
      <c r="F1085" s="463"/>
      <c r="J1085" s="463">
        <v>373454.01</v>
      </c>
    </row>
    <row r="1086" spans="1:10" hidden="1" x14ac:dyDescent="0.2">
      <c r="A1086" s="16"/>
      <c r="C1086" s="463"/>
      <c r="D1086" s="463"/>
      <c r="E1086" s="463"/>
      <c r="F1086" s="463"/>
      <c r="J1086" s="463">
        <v>0.05</v>
      </c>
    </row>
    <row r="1087" spans="1:10" hidden="1" x14ac:dyDescent="0.2">
      <c r="A1087" s="16"/>
      <c r="C1087" s="463"/>
      <c r="D1087" s="463"/>
      <c r="E1087" s="463"/>
      <c r="F1087" s="463"/>
      <c r="J1087" s="463">
        <f>J1085*J1086</f>
        <v>18672.700500000003</v>
      </c>
    </row>
    <row r="1088" spans="1:10" hidden="1" x14ac:dyDescent="0.2"/>
    <row r="1089" spans="1:10" hidden="1" x14ac:dyDescent="0.2"/>
    <row r="1090" spans="1:10" hidden="1" x14ac:dyDescent="0.2"/>
    <row r="1091" spans="1:10" hidden="1" x14ac:dyDescent="0.2"/>
    <row r="1092" spans="1:10" hidden="1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hidden="1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hidden="1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hidden="1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hidden="1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hidden="1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hidden="1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hidden="1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hidden="1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hidden="1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hidden="1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hidden="1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hidden="1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</sheetData>
  <mergeCells count="26">
    <mergeCell ref="W2:X2"/>
    <mergeCell ref="W1:X1"/>
    <mergeCell ref="A112:F112"/>
    <mergeCell ref="A4:Z4"/>
    <mergeCell ref="A5:Z5"/>
    <mergeCell ref="Y2:Z2"/>
    <mergeCell ref="A334:F334"/>
    <mergeCell ref="A466:F466"/>
    <mergeCell ref="A518:F518"/>
    <mergeCell ref="U1:V1"/>
    <mergeCell ref="A6:F6"/>
    <mergeCell ref="A10:F10"/>
    <mergeCell ref="E1:M1"/>
    <mergeCell ref="O1:P1"/>
    <mergeCell ref="R1:T1"/>
    <mergeCell ref="U2:V2"/>
    <mergeCell ref="A877:F877"/>
    <mergeCell ref="A1005:E1005"/>
    <mergeCell ref="A1031:F1031"/>
    <mergeCell ref="B1046:B1052"/>
    <mergeCell ref="B1054:B1061"/>
    <mergeCell ref="A923:F923"/>
    <mergeCell ref="A932:F932"/>
    <mergeCell ref="A970:F970"/>
    <mergeCell ref="A984:F984"/>
    <mergeCell ref="A998:F998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2"/>
  <sheetViews>
    <sheetView view="pageBreakPreview" zoomScale="110" zoomScaleNormal="110" zoomScaleSheetLayoutView="110" workbookViewId="0">
      <selection activeCell="A1006" sqref="A1006"/>
    </sheetView>
  </sheetViews>
  <sheetFormatPr defaultRowHeight="15" x14ac:dyDescent="0.2"/>
  <cols>
    <col min="1" max="1" width="101.7109375" style="244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7" hidden="1" customWidth="1"/>
    <col min="8" max="8" width="15.5703125" style="377" hidden="1" customWidth="1"/>
    <col min="9" max="9" width="16.85546875" style="377" hidden="1" customWidth="1"/>
    <col min="10" max="10" width="14.5703125" style="427" hidden="1" customWidth="1"/>
    <col min="11" max="11" width="16.5703125" style="427" hidden="1" customWidth="1"/>
    <col min="12" max="12" width="15.42578125" style="427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9"/>
      <c r="F1" s="529"/>
      <c r="G1" s="463"/>
      <c r="H1" s="529"/>
      <c r="I1" s="529"/>
      <c r="K1" s="558"/>
      <c r="L1" s="558"/>
      <c r="O1" s="16" t="s">
        <v>1184</v>
      </c>
    </row>
    <row r="2" spans="1:15" ht="56.25" customHeight="1" x14ac:dyDescent="0.2">
      <c r="E2" s="368"/>
      <c r="F2" s="368"/>
      <c r="G2" s="368"/>
      <c r="H2" s="537"/>
      <c r="I2" s="537"/>
      <c r="J2" s="557"/>
      <c r="K2" s="557"/>
      <c r="L2" s="557"/>
      <c r="M2" s="562" t="s">
        <v>1218</v>
      </c>
      <c r="N2" s="562"/>
      <c r="O2" s="562"/>
    </row>
    <row r="4" spans="1:15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</row>
    <row r="5" spans="1:15" ht="18.75" customHeight="1" x14ac:dyDescent="0.2">
      <c r="A5" s="530" t="s">
        <v>1229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</row>
    <row r="6" spans="1:15" ht="15.75" x14ac:dyDescent="0.2">
      <c r="A6" s="538"/>
      <c r="B6" s="538"/>
      <c r="C6" s="538"/>
      <c r="D6" s="538"/>
      <c r="E6" s="538"/>
      <c r="F6" s="538"/>
      <c r="I6" s="16"/>
      <c r="L6" s="377"/>
      <c r="O6" s="16" t="s">
        <v>549</v>
      </c>
    </row>
    <row r="7" spans="1:15" s="463" customFormat="1" ht="42.75" x14ac:dyDescent="0.2">
      <c r="A7" s="249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 t="s">
        <v>1039</v>
      </c>
      <c r="H7" s="253" t="s">
        <v>1010</v>
      </c>
      <c r="I7" s="251" t="s">
        <v>1141</v>
      </c>
      <c r="J7" s="444" t="s">
        <v>1010</v>
      </c>
      <c r="K7" s="444" t="s">
        <v>1170</v>
      </c>
      <c r="L7" s="253" t="s">
        <v>1190</v>
      </c>
      <c r="M7" s="444" t="s">
        <v>1010</v>
      </c>
      <c r="N7" s="444" t="s">
        <v>1190</v>
      </c>
      <c r="O7" s="253" t="s">
        <v>1230</v>
      </c>
    </row>
    <row r="8" spans="1:15" s="463" customFormat="1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426"/>
      <c r="K8" s="426"/>
      <c r="L8" s="251"/>
      <c r="M8" s="426"/>
      <c r="N8" s="426"/>
      <c r="O8" s="251"/>
    </row>
    <row r="9" spans="1:15" s="463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3">
        <v>8</v>
      </c>
      <c r="H9" s="253">
        <v>7</v>
      </c>
      <c r="I9" s="253">
        <v>7</v>
      </c>
      <c r="J9" s="442">
        <v>7</v>
      </c>
      <c r="K9" s="442">
        <v>8</v>
      </c>
      <c r="L9" s="443">
        <v>9</v>
      </c>
      <c r="M9" s="442">
        <v>7</v>
      </c>
      <c r="N9" s="442">
        <v>8</v>
      </c>
      <c r="O9" s="443">
        <v>9</v>
      </c>
    </row>
    <row r="10" spans="1:15" s="428" customFormat="1" ht="24.75" customHeight="1" x14ac:dyDescent="0.2">
      <c r="A10" s="551" t="s">
        <v>1032</v>
      </c>
      <c r="B10" s="551"/>
      <c r="C10" s="551"/>
      <c r="D10" s="551"/>
      <c r="E10" s="551"/>
      <c r="F10" s="551"/>
      <c r="G10" s="447">
        <v>75565.95</v>
      </c>
      <c r="H10" s="447">
        <v>14947.05</v>
      </c>
      <c r="I10" s="447">
        <v>64367.299999999996</v>
      </c>
      <c r="J10" s="447">
        <f>J15+J35+J84+J90</f>
        <v>15872.199999999999</v>
      </c>
      <c r="K10" s="447">
        <f>L15+L35+L84+L90</f>
        <v>73980.069999999992</v>
      </c>
      <c r="L10" s="447">
        <f>L15+L35+L84+L90</f>
        <v>73980.069999999992</v>
      </c>
      <c r="M10" s="447">
        <f>M15+M35+M84+M90</f>
        <v>-1292.52</v>
      </c>
      <c r="N10" s="447">
        <f>N15+N35+N84+N90</f>
        <v>72687.55</v>
      </c>
      <c r="O10" s="447">
        <f>O15+O35+O84+O90</f>
        <v>72729.279999999999</v>
      </c>
    </row>
    <row r="11" spans="1:15" ht="12.75" hidden="1" customHeight="1" x14ac:dyDescent="0.2">
      <c r="A11" s="462" t="s">
        <v>72</v>
      </c>
      <c r="B11" s="250" t="s">
        <v>73</v>
      </c>
      <c r="C11" s="250" t="s">
        <v>190</v>
      </c>
      <c r="D11" s="250"/>
      <c r="E11" s="250"/>
      <c r="F11" s="250"/>
      <c r="G11" s="257" t="e">
        <v>#REF!</v>
      </c>
      <c r="H11" s="257" t="e">
        <v>#REF!</v>
      </c>
      <c r="I11" s="257" t="e">
        <v>#REF!</v>
      </c>
      <c r="J11" s="257" t="e">
        <f t="shared" ref="J11:N13" si="0">J12</f>
        <v>#REF!</v>
      </c>
      <c r="K11" s="257" t="e">
        <f>L12</f>
        <v>#REF!</v>
      </c>
      <c r="L11" s="257" t="e">
        <f t="shared" si="0"/>
        <v>#REF!</v>
      </c>
      <c r="M11" s="257" t="e">
        <f t="shared" si="0"/>
        <v>#REF!</v>
      </c>
      <c r="N11" s="257" t="e">
        <f t="shared" si="0"/>
        <v>#REF!</v>
      </c>
      <c r="O11" s="257" t="e">
        <f t="shared" ref="L11:O13" si="1">O12</f>
        <v>#REF!</v>
      </c>
    </row>
    <row r="12" spans="1:15" ht="12.75" hidden="1" customHeight="1" x14ac:dyDescent="0.2">
      <c r="A12" s="462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 t="e">
        <v>#REF!</v>
      </c>
      <c r="H12" s="257" t="e">
        <v>#REF!</v>
      </c>
      <c r="I12" s="257" t="e">
        <v>#REF!</v>
      </c>
      <c r="J12" s="257" t="e">
        <f t="shared" si="0"/>
        <v>#REF!</v>
      </c>
      <c r="K12" s="257" t="e">
        <f>L13</f>
        <v>#REF!</v>
      </c>
      <c r="L12" s="257" t="e">
        <f t="shared" si="1"/>
        <v>#REF!</v>
      </c>
      <c r="M12" s="257" t="e">
        <f t="shared" si="1"/>
        <v>#REF!</v>
      </c>
      <c r="N12" s="257" t="e">
        <f t="shared" si="1"/>
        <v>#REF!</v>
      </c>
      <c r="O12" s="257" t="e">
        <f t="shared" si="1"/>
        <v>#REF!</v>
      </c>
    </row>
    <row r="13" spans="1:15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 t="e">
        <v>#REF!</v>
      </c>
      <c r="H13" s="257" t="e">
        <v>#REF!</v>
      </c>
      <c r="I13" s="257" t="e">
        <v>#REF!</v>
      </c>
      <c r="J13" s="257" t="e">
        <f t="shared" si="0"/>
        <v>#REF!</v>
      </c>
      <c r="K13" s="257" t="e">
        <f>L14</f>
        <v>#REF!</v>
      </c>
      <c r="L13" s="257" t="e">
        <f t="shared" si="1"/>
        <v>#REF!</v>
      </c>
      <c r="M13" s="257" t="e">
        <f t="shared" si="1"/>
        <v>#REF!</v>
      </c>
      <c r="N13" s="257" t="e">
        <f t="shared" si="1"/>
        <v>#REF!</v>
      </c>
      <c r="O13" s="257" t="e">
        <f t="shared" si="1"/>
        <v>#REF!</v>
      </c>
    </row>
    <row r="14" spans="1:15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 t="e">
        <v>#REF!</v>
      </c>
      <c r="H14" s="257" t="e">
        <v>#REF!</v>
      </c>
      <c r="I14" s="257" t="e">
        <v>#REF!</v>
      </c>
      <c r="J14" s="257" t="e">
        <f>#REF!+#REF!</f>
        <v>#REF!</v>
      </c>
      <c r="K14" s="257" t="e">
        <f>#REF!+G14</f>
        <v>#REF!</v>
      </c>
      <c r="L14" s="257" t="e">
        <f>#REF!+H14</f>
        <v>#REF!</v>
      </c>
      <c r="M14" s="257" t="e">
        <f>#REF!+I14</f>
        <v>#REF!</v>
      </c>
      <c r="N14" s="257" t="e">
        <f>#REF!+J14</f>
        <v>#REF!</v>
      </c>
      <c r="O14" s="257" t="e">
        <f>#REF!+L14</f>
        <v>#REF!</v>
      </c>
    </row>
    <row r="15" spans="1:15" s="430" customFormat="1" ht="12.75" customHeight="1" x14ac:dyDescent="0.2">
      <c r="A15" s="462" t="s">
        <v>298</v>
      </c>
      <c r="B15" s="250" t="s">
        <v>73</v>
      </c>
      <c r="C15" s="250" t="s">
        <v>202</v>
      </c>
      <c r="D15" s="250"/>
      <c r="E15" s="250"/>
      <c r="F15" s="250"/>
      <c r="G15" s="261">
        <v>21919</v>
      </c>
      <c r="H15" s="261">
        <v>13994.72</v>
      </c>
      <c r="I15" s="261">
        <v>21972.2</v>
      </c>
      <c r="J15" s="261">
        <f t="shared" ref="J15" si="2">J16+J30</f>
        <v>3232.8</v>
      </c>
      <c r="K15" s="261">
        <f>L16+L30</f>
        <v>17723</v>
      </c>
      <c r="L15" s="261">
        <f t="shared" ref="L15" si="3">L16+L30</f>
        <v>17723</v>
      </c>
      <c r="M15" s="261">
        <f t="shared" ref="M15:N15" si="4">M16+M30</f>
        <v>-150</v>
      </c>
      <c r="N15" s="261">
        <f t="shared" si="4"/>
        <v>17573</v>
      </c>
      <c r="O15" s="261">
        <f t="shared" ref="O15" si="5">O16+O30</f>
        <v>17573</v>
      </c>
    </row>
    <row r="16" spans="1:15" ht="16.5" customHeight="1" x14ac:dyDescent="0.2">
      <c r="A16" s="462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v>21719</v>
      </c>
      <c r="H16" s="262">
        <v>14084.72</v>
      </c>
      <c r="I16" s="262">
        <v>21772.2</v>
      </c>
      <c r="J16" s="262">
        <f t="shared" ref="J16" si="6">J17</f>
        <v>3222.8</v>
      </c>
      <c r="K16" s="262">
        <f>L17</f>
        <v>17513</v>
      </c>
      <c r="L16" s="262">
        <f t="shared" ref="L16:M16" si="7">L17</f>
        <v>17513</v>
      </c>
      <c r="M16" s="262">
        <f t="shared" si="7"/>
        <v>0</v>
      </c>
      <c r="N16" s="262">
        <f>N17</f>
        <v>17513</v>
      </c>
      <c r="O16" s="262">
        <f>O17</f>
        <v>17513</v>
      </c>
    </row>
    <row r="17" spans="1:15" ht="45.75" customHeight="1" x14ac:dyDescent="0.2">
      <c r="A17" s="259" t="s">
        <v>974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>
        <v>21719</v>
      </c>
      <c r="H17" s="257">
        <v>14084.72</v>
      </c>
      <c r="I17" s="257">
        <v>21772.2</v>
      </c>
      <c r="J17" s="257">
        <f t="shared" ref="J17" si="8">J18+J25+J29</f>
        <v>3222.8</v>
      </c>
      <c r="K17" s="257">
        <f>L18+L25+L29</f>
        <v>17513</v>
      </c>
      <c r="L17" s="257">
        <f t="shared" ref="L17" si="9">L18+L25+L29</f>
        <v>17513</v>
      </c>
      <c r="M17" s="257">
        <f t="shared" ref="M17:O17" si="10">M18+M25+M29</f>
        <v>0</v>
      </c>
      <c r="N17" s="257">
        <f t="shared" si="10"/>
        <v>17513</v>
      </c>
      <c r="O17" s="257">
        <f t="shared" si="10"/>
        <v>17513</v>
      </c>
    </row>
    <row r="18" spans="1:15" s="430" customFormat="1" ht="19.5" customHeight="1" x14ac:dyDescent="0.2">
      <c r="A18" s="462" t="s">
        <v>1050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/>
      <c r="G18" s="275">
        <v>13824</v>
      </c>
      <c r="H18" s="275">
        <v>13363.72</v>
      </c>
      <c r="I18" s="275">
        <v>10944</v>
      </c>
      <c r="J18" s="275">
        <f>J19+J20+J21+J22</f>
        <v>5624</v>
      </c>
      <c r="K18" s="275">
        <f>L19+L20+L21+L22</f>
        <v>16568</v>
      </c>
      <c r="L18" s="275">
        <f>L19+L20+L21+L22</f>
        <v>16568</v>
      </c>
      <c r="M18" s="275">
        <f>M19+M20+M21+M22</f>
        <v>0</v>
      </c>
      <c r="N18" s="275">
        <f t="shared" ref="N18:O18" si="11">N19+N20+N21+N22</f>
        <v>16568</v>
      </c>
      <c r="O18" s="275">
        <f t="shared" si="11"/>
        <v>16568</v>
      </c>
    </row>
    <row r="19" spans="1:15" ht="28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744</v>
      </c>
      <c r="F19" s="252" t="s">
        <v>77</v>
      </c>
      <c r="G19" s="257">
        <v>10544</v>
      </c>
      <c r="H19" s="257">
        <v>1251.8</v>
      </c>
      <c r="I19" s="257">
        <v>10544</v>
      </c>
      <c r="J19" s="257">
        <v>5624</v>
      </c>
      <c r="K19" s="257">
        <f>I19+J19</f>
        <v>16168</v>
      </c>
      <c r="L19" s="257">
        <v>16168</v>
      </c>
      <c r="M19" s="257">
        <v>0</v>
      </c>
      <c r="N19" s="257">
        <f>L19+M19</f>
        <v>16168</v>
      </c>
      <c r="O19" s="257">
        <v>16168</v>
      </c>
    </row>
    <row r="20" spans="1:15" ht="28.5" hidden="1" customHeight="1" x14ac:dyDescent="0.2">
      <c r="A20" s="259" t="s">
        <v>76</v>
      </c>
      <c r="B20" s="252" t="s">
        <v>73</v>
      </c>
      <c r="C20" s="252" t="s">
        <v>202</v>
      </c>
      <c r="D20" s="252" t="s">
        <v>194</v>
      </c>
      <c r="E20" s="252" t="s">
        <v>1248</v>
      </c>
      <c r="F20" s="252" t="s">
        <v>77</v>
      </c>
      <c r="G20" s="257">
        <v>2880</v>
      </c>
      <c r="H20" s="257">
        <v>0</v>
      </c>
      <c r="I20" s="257">
        <v>0</v>
      </c>
      <c r="J20" s="257">
        <v>0</v>
      </c>
      <c r="K20" s="257">
        <f>I20+J20</f>
        <v>0</v>
      </c>
      <c r="L20" s="257">
        <v>0</v>
      </c>
      <c r="M20" s="257">
        <v>0</v>
      </c>
      <c r="N20" s="257">
        <f>L20+M20</f>
        <v>0</v>
      </c>
      <c r="O20" s="257">
        <v>0</v>
      </c>
    </row>
    <row r="21" spans="1:15" ht="28.5" customHeight="1" x14ac:dyDescent="0.2">
      <c r="A21" s="259" t="s">
        <v>76</v>
      </c>
      <c r="B21" s="252" t="s">
        <v>73</v>
      </c>
      <c r="C21" s="252" t="s">
        <v>202</v>
      </c>
      <c r="D21" s="252" t="s">
        <v>194</v>
      </c>
      <c r="E21" s="252" t="s">
        <v>1053</v>
      </c>
      <c r="F21" s="252" t="s">
        <v>77</v>
      </c>
      <c r="G21" s="257">
        <v>400</v>
      </c>
      <c r="H21" s="257">
        <v>0</v>
      </c>
      <c r="I21" s="257">
        <v>400</v>
      </c>
      <c r="J21" s="257">
        <v>0</v>
      </c>
      <c r="K21" s="257">
        <f t="shared" ref="K21" si="12">I21+J21</f>
        <v>400</v>
      </c>
      <c r="L21" s="257">
        <v>400</v>
      </c>
      <c r="M21" s="257">
        <v>0</v>
      </c>
      <c r="N21" s="257">
        <f>L21+M21</f>
        <v>400</v>
      </c>
      <c r="O21" s="257">
        <v>400</v>
      </c>
    </row>
    <row r="22" spans="1:15" ht="28.5" hidden="1" customHeight="1" x14ac:dyDescent="0.2">
      <c r="A22" s="259" t="s">
        <v>1153</v>
      </c>
      <c r="B22" s="252" t="s">
        <v>73</v>
      </c>
      <c r="C22" s="252" t="s">
        <v>202</v>
      </c>
      <c r="D22" s="252" t="s">
        <v>194</v>
      </c>
      <c r="E22" s="252" t="s">
        <v>1152</v>
      </c>
      <c r="F22" s="252"/>
      <c r="G22" s="257">
        <v>0</v>
      </c>
      <c r="H22" s="257">
        <v>12111.92</v>
      </c>
      <c r="I22" s="257">
        <v>0</v>
      </c>
      <c r="J22" s="257">
        <f t="shared" ref="J22" si="13">J23+J24</f>
        <v>0</v>
      </c>
      <c r="K22" s="257">
        <f>L23+L24</f>
        <v>0</v>
      </c>
      <c r="L22" s="257">
        <v>0</v>
      </c>
      <c r="M22" s="257">
        <f t="shared" ref="M22:N22" si="14">M23+M24</f>
        <v>0</v>
      </c>
      <c r="N22" s="257">
        <f t="shared" si="14"/>
        <v>0</v>
      </c>
      <c r="O22" s="257">
        <f t="shared" ref="O22" si="15">O23+O24</f>
        <v>0</v>
      </c>
    </row>
    <row r="23" spans="1:15" ht="28.5" hidden="1" customHeight="1" x14ac:dyDescent="0.2">
      <c r="A23" s="259" t="s">
        <v>76</v>
      </c>
      <c r="B23" s="252" t="s">
        <v>73</v>
      </c>
      <c r="C23" s="252" t="s">
        <v>202</v>
      </c>
      <c r="D23" s="252" t="s">
        <v>194</v>
      </c>
      <c r="E23" s="252" t="s">
        <v>1152</v>
      </c>
      <c r="F23" s="252" t="s">
        <v>79</v>
      </c>
      <c r="G23" s="257">
        <v>0</v>
      </c>
      <c r="H23" s="257">
        <v>11990.8</v>
      </c>
      <c r="I23" s="257">
        <v>0</v>
      </c>
      <c r="J23" s="257">
        <v>0</v>
      </c>
      <c r="K23" s="257">
        <f t="shared" ref="K23:K24" si="16">I23+J23</f>
        <v>0</v>
      </c>
      <c r="L23" s="257">
        <v>0</v>
      </c>
      <c r="M23" s="257">
        <v>0</v>
      </c>
      <c r="N23" s="257">
        <f>L23+M23</f>
        <v>0</v>
      </c>
      <c r="O23" s="257">
        <v>0</v>
      </c>
    </row>
    <row r="24" spans="1:15" ht="28.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1152</v>
      </c>
      <c r="F24" s="252" t="s">
        <v>79</v>
      </c>
      <c r="G24" s="257">
        <v>0</v>
      </c>
      <c r="H24" s="257">
        <v>121.12</v>
      </c>
      <c r="I24" s="257">
        <v>0</v>
      </c>
      <c r="J24" s="257">
        <v>0</v>
      </c>
      <c r="K24" s="257">
        <f t="shared" si="16"/>
        <v>0</v>
      </c>
      <c r="L24" s="257">
        <v>0</v>
      </c>
      <c r="M24" s="257">
        <v>0</v>
      </c>
      <c r="N24" s="257">
        <f>L24+M24</f>
        <v>0</v>
      </c>
      <c r="O24" s="257">
        <v>0</v>
      </c>
    </row>
    <row r="25" spans="1:15" s="430" customFormat="1" ht="17.25" customHeight="1" x14ac:dyDescent="0.2">
      <c r="A25" s="462" t="s">
        <v>1051</v>
      </c>
      <c r="B25" s="250" t="s">
        <v>73</v>
      </c>
      <c r="C25" s="250" t="s">
        <v>202</v>
      </c>
      <c r="D25" s="250" t="s">
        <v>194</v>
      </c>
      <c r="E25" s="250" t="s">
        <v>745</v>
      </c>
      <c r="F25" s="250"/>
      <c r="G25" s="275">
        <v>7895</v>
      </c>
      <c r="H25" s="275">
        <v>721</v>
      </c>
      <c r="I25" s="275">
        <v>6545</v>
      </c>
      <c r="J25" s="275">
        <f t="shared" ref="J25" si="17">J26+J27+J28</f>
        <v>1882</v>
      </c>
      <c r="K25" s="275">
        <f>L26+L27+L28</f>
        <v>945</v>
      </c>
      <c r="L25" s="275">
        <f t="shared" ref="L25:M25" si="18">L26+L27+L28</f>
        <v>945</v>
      </c>
      <c r="M25" s="275">
        <f t="shared" si="18"/>
        <v>0</v>
      </c>
      <c r="N25" s="275">
        <f>N26+N27+N28</f>
        <v>945</v>
      </c>
      <c r="O25" s="275">
        <f>O26+O27+O28</f>
        <v>945</v>
      </c>
    </row>
    <row r="26" spans="1:15" ht="31.5" hidden="1" customHeight="1" x14ac:dyDescent="0.2">
      <c r="A26" s="259" t="s">
        <v>76</v>
      </c>
      <c r="B26" s="252" t="s">
        <v>73</v>
      </c>
      <c r="C26" s="252" t="s">
        <v>202</v>
      </c>
      <c r="D26" s="252" t="s">
        <v>194</v>
      </c>
      <c r="E26" s="252" t="s">
        <v>745</v>
      </c>
      <c r="F26" s="252" t="s">
        <v>77</v>
      </c>
      <c r="G26" s="257">
        <v>5600</v>
      </c>
      <c r="H26" s="257">
        <v>721</v>
      </c>
      <c r="I26" s="257">
        <v>5600</v>
      </c>
      <c r="J26" s="257">
        <v>1882</v>
      </c>
      <c r="K26" s="257">
        <f t="shared" ref="K26:K27" si="19">I26+J26</f>
        <v>7482</v>
      </c>
      <c r="L26" s="257">
        <v>0</v>
      </c>
      <c r="M26" s="257">
        <v>0</v>
      </c>
      <c r="N26" s="257">
        <f>L26+M26</f>
        <v>0</v>
      </c>
      <c r="O26" s="257">
        <v>0</v>
      </c>
    </row>
    <row r="27" spans="1:15" ht="31.5" hidden="1" customHeight="1" x14ac:dyDescent="0.2">
      <c r="A27" s="259" t="s">
        <v>76</v>
      </c>
      <c r="B27" s="252" t="s">
        <v>73</v>
      </c>
      <c r="C27" s="252" t="s">
        <v>202</v>
      </c>
      <c r="D27" s="252" t="s">
        <v>194</v>
      </c>
      <c r="E27" s="252" t="s">
        <v>1249</v>
      </c>
      <c r="F27" s="252" t="s">
        <v>77</v>
      </c>
      <c r="G27" s="257">
        <v>1350</v>
      </c>
      <c r="H27" s="257">
        <v>0</v>
      </c>
      <c r="I27" s="257">
        <v>0</v>
      </c>
      <c r="J27" s="257">
        <v>0</v>
      </c>
      <c r="K27" s="257">
        <f t="shared" si="19"/>
        <v>0</v>
      </c>
      <c r="L27" s="257">
        <v>0</v>
      </c>
      <c r="M27" s="257">
        <v>0</v>
      </c>
      <c r="N27" s="257">
        <f>L27+M27</f>
        <v>0</v>
      </c>
      <c r="O27" s="257">
        <v>0</v>
      </c>
    </row>
    <row r="28" spans="1:15" ht="31.5" customHeight="1" x14ac:dyDescent="0.2">
      <c r="A28" s="259" t="s">
        <v>76</v>
      </c>
      <c r="B28" s="252" t="s">
        <v>73</v>
      </c>
      <c r="C28" s="252" t="s">
        <v>202</v>
      </c>
      <c r="D28" s="252" t="s">
        <v>194</v>
      </c>
      <c r="E28" s="252" t="s">
        <v>1055</v>
      </c>
      <c r="F28" s="252" t="s">
        <v>77</v>
      </c>
      <c r="G28" s="257">
        <v>945</v>
      </c>
      <c r="H28" s="257">
        <v>0</v>
      </c>
      <c r="I28" s="257">
        <v>945</v>
      </c>
      <c r="J28" s="257">
        <v>0</v>
      </c>
      <c r="K28" s="257">
        <f>I28+J28</f>
        <v>945</v>
      </c>
      <c r="L28" s="257">
        <v>945</v>
      </c>
      <c r="M28" s="257">
        <v>0</v>
      </c>
      <c r="N28" s="257">
        <f>L28+M28</f>
        <v>945</v>
      </c>
      <c r="O28" s="257">
        <v>945</v>
      </c>
    </row>
    <row r="29" spans="1:15" ht="31.5" hidden="1" customHeight="1" x14ac:dyDescent="0.2">
      <c r="A29" s="259" t="s">
        <v>1153</v>
      </c>
      <c r="B29" s="252" t="s">
        <v>73</v>
      </c>
      <c r="C29" s="252" t="s">
        <v>202</v>
      </c>
      <c r="D29" s="252" t="s">
        <v>194</v>
      </c>
      <c r="E29" s="252" t="s">
        <v>1152</v>
      </c>
      <c r="F29" s="252" t="s">
        <v>79</v>
      </c>
      <c r="G29" s="257">
        <v>0</v>
      </c>
      <c r="H29" s="257">
        <v>4283.2</v>
      </c>
      <c r="I29" s="257">
        <v>4283.2</v>
      </c>
      <c r="J29" s="257">
        <v>-4283.2</v>
      </c>
      <c r="K29" s="257">
        <f>I29+J29</f>
        <v>0</v>
      </c>
      <c r="L29" s="257">
        <v>0</v>
      </c>
      <c r="M29" s="257">
        <v>0</v>
      </c>
      <c r="N29" s="257">
        <f>L29+M29</f>
        <v>0</v>
      </c>
      <c r="O29" s="257">
        <v>0</v>
      </c>
    </row>
    <row r="30" spans="1:15" s="430" customFormat="1" ht="18" customHeight="1" x14ac:dyDescent="0.2">
      <c r="A30" s="462" t="s">
        <v>230</v>
      </c>
      <c r="B30" s="250" t="s">
        <v>73</v>
      </c>
      <c r="C30" s="250" t="s">
        <v>202</v>
      </c>
      <c r="D30" s="250" t="s">
        <v>202</v>
      </c>
      <c r="E30" s="250"/>
      <c r="F30" s="250"/>
      <c r="G30" s="275">
        <v>200</v>
      </c>
      <c r="H30" s="275">
        <v>-90</v>
      </c>
      <c r="I30" s="275">
        <v>200</v>
      </c>
      <c r="J30" s="275">
        <f t="shared" ref="J30" si="20">J31+J33</f>
        <v>10</v>
      </c>
      <c r="K30" s="275">
        <f>L31+L33</f>
        <v>210</v>
      </c>
      <c r="L30" s="275">
        <f t="shared" ref="L30" si="21">L31+L33</f>
        <v>210</v>
      </c>
      <c r="M30" s="275">
        <f t="shared" ref="M30:N30" si="22">M31+M33</f>
        <v>-150</v>
      </c>
      <c r="N30" s="275">
        <f t="shared" si="22"/>
        <v>60</v>
      </c>
      <c r="O30" s="275">
        <f t="shared" ref="O30" si="23">O31+O33</f>
        <v>60</v>
      </c>
    </row>
    <row r="31" spans="1:15" ht="18" customHeight="1" x14ac:dyDescent="0.2">
      <c r="A31" s="259" t="s">
        <v>498</v>
      </c>
      <c r="B31" s="252" t="s">
        <v>73</v>
      </c>
      <c r="C31" s="252" t="s">
        <v>202</v>
      </c>
      <c r="D31" s="252" t="s">
        <v>202</v>
      </c>
      <c r="E31" s="252" t="s">
        <v>884</v>
      </c>
      <c r="F31" s="252"/>
      <c r="G31" s="257">
        <v>200</v>
      </c>
      <c r="H31" s="257">
        <v>-100</v>
      </c>
      <c r="I31" s="257">
        <v>200</v>
      </c>
      <c r="J31" s="257">
        <f t="shared" ref="J31:O31" si="24">J32</f>
        <v>0</v>
      </c>
      <c r="K31" s="257">
        <f>L32</f>
        <v>200</v>
      </c>
      <c r="L31" s="257">
        <f t="shared" si="24"/>
        <v>200</v>
      </c>
      <c r="M31" s="257">
        <f t="shared" si="24"/>
        <v>-150</v>
      </c>
      <c r="N31" s="257">
        <f t="shared" si="24"/>
        <v>50</v>
      </c>
      <c r="O31" s="257">
        <f t="shared" si="24"/>
        <v>50</v>
      </c>
    </row>
    <row r="32" spans="1:15" ht="18" customHeight="1" x14ac:dyDescent="0.2">
      <c r="A32" s="259" t="s">
        <v>121</v>
      </c>
      <c r="B32" s="252" t="s">
        <v>73</v>
      </c>
      <c r="C32" s="252" t="s">
        <v>202</v>
      </c>
      <c r="D32" s="252" t="s">
        <v>202</v>
      </c>
      <c r="E32" s="252" t="s">
        <v>884</v>
      </c>
      <c r="F32" s="252" t="s">
        <v>94</v>
      </c>
      <c r="G32" s="257">
        <v>200</v>
      </c>
      <c r="H32" s="257">
        <v>-100</v>
      </c>
      <c r="I32" s="257">
        <v>200</v>
      </c>
      <c r="J32" s="257">
        <v>0</v>
      </c>
      <c r="K32" s="257">
        <f t="shared" ref="K32" si="25">I32+J32</f>
        <v>200</v>
      </c>
      <c r="L32" s="257">
        <v>200</v>
      </c>
      <c r="M32" s="257">
        <v>-150</v>
      </c>
      <c r="N32" s="257">
        <f>L32+M32</f>
        <v>50</v>
      </c>
      <c r="O32" s="257">
        <v>50</v>
      </c>
    </row>
    <row r="33" spans="1:15" ht="18" customHeight="1" x14ac:dyDescent="0.2">
      <c r="A33" s="259" t="s">
        <v>499</v>
      </c>
      <c r="B33" s="252" t="s">
        <v>73</v>
      </c>
      <c r="C33" s="252" t="s">
        <v>202</v>
      </c>
      <c r="D33" s="252" t="s">
        <v>202</v>
      </c>
      <c r="E33" s="252" t="s">
        <v>751</v>
      </c>
      <c r="F33" s="252"/>
      <c r="G33" s="257">
        <v>0</v>
      </c>
      <c r="H33" s="257">
        <v>10</v>
      </c>
      <c r="I33" s="257">
        <v>0</v>
      </c>
      <c r="J33" s="257">
        <f t="shared" ref="J33:O33" si="26">J34</f>
        <v>10</v>
      </c>
      <c r="K33" s="257">
        <f>L34</f>
        <v>10</v>
      </c>
      <c r="L33" s="257">
        <f t="shared" si="26"/>
        <v>10</v>
      </c>
      <c r="M33" s="257">
        <f t="shared" si="26"/>
        <v>0</v>
      </c>
      <c r="N33" s="257">
        <f t="shared" si="26"/>
        <v>10</v>
      </c>
      <c r="O33" s="257">
        <f t="shared" si="26"/>
        <v>10</v>
      </c>
    </row>
    <row r="34" spans="1:15" ht="18" customHeight="1" x14ac:dyDescent="0.2">
      <c r="A34" s="259" t="s">
        <v>121</v>
      </c>
      <c r="B34" s="252" t="s">
        <v>73</v>
      </c>
      <c r="C34" s="252" t="s">
        <v>202</v>
      </c>
      <c r="D34" s="252" t="s">
        <v>202</v>
      </c>
      <c r="E34" s="252" t="s">
        <v>751</v>
      </c>
      <c r="F34" s="252" t="s">
        <v>94</v>
      </c>
      <c r="G34" s="257">
        <v>0</v>
      </c>
      <c r="H34" s="257">
        <v>10</v>
      </c>
      <c r="I34" s="257">
        <v>0</v>
      </c>
      <c r="J34" s="257">
        <v>10</v>
      </c>
      <c r="K34" s="257">
        <f>I34+J34</f>
        <v>10</v>
      </c>
      <c r="L34" s="257">
        <v>10</v>
      </c>
      <c r="M34" s="257">
        <v>0</v>
      </c>
      <c r="N34" s="257">
        <f>L34+M34</f>
        <v>10</v>
      </c>
      <c r="O34" s="257">
        <v>10</v>
      </c>
    </row>
    <row r="35" spans="1:15" s="430" customFormat="1" ht="14.25" x14ac:dyDescent="0.2">
      <c r="A35" s="462" t="s">
        <v>80</v>
      </c>
      <c r="B35" s="250" t="s">
        <v>73</v>
      </c>
      <c r="C35" s="250" t="s">
        <v>233</v>
      </c>
      <c r="D35" s="250"/>
      <c r="E35" s="250"/>
      <c r="F35" s="250"/>
      <c r="G35" s="275">
        <v>48433.25</v>
      </c>
      <c r="H35" s="275">
        <v>4019.0299999999997</v>
      </c>
      <c r="I35" s="275">
        <v>40661.5</v>
      </c>
      <c r="J35" s="275">
        <f>J36+J59</f>
        <v>12024</v>
      </c>
      <c r="K35" s="275">
        <f>L36+L59</f>
        <v>52116.87</v>
      </c>
      <c r="L35" s="275">
        <f>L36+L59</f>
        <v>52116.87</v>
      </c>
      <c r="M35" s="275">
        <f>M36+M59</f>
        <v>-51.419999999999995</v>
      </c>
      <c r="N35" s="275">
        <f>N36+N59</f>
        <v>52065.45</v>
      </c>
      <c r="O35" s="275">
        <f>O36+O59</f>
        <v>52077.88</v>
      </c>
    </row>
    <row r="36" spans="1:15" x14ac:dyDescent="0.2">
      <c r="A36" s="462" t="s">
        <v>81</v>
      </c>
      <c r="B36" s="250" t="s">
        <v>73</v>
      </c>
      <c r="C36" s="250" t="s">
        <v>233</v>
      </c>
      <c r="D36" s="250" t="s">
        <v>190</v>
      </c>
      <c r="E36" s="250"/>
      <c r="F36" s="250"/>
      <c r="G36" s="262">
        <v>36644.25</v>
      </c>
      <c r="H36" s="262">
        <v>4353.03</v>
      </c>
      <c r="I36" s="262">
        <v>30712.5</v>
      </c>
      <c r="J36" s="262">
        <f>J37+J48+J56</f>
        <v>10547</v>
      </c>
      <c r="K36" s="262">
        <f>L37+L48+L56</f>
        <v>40630.870000000003</v>
      </c>
      <c r="L36" s="262">
        <f>L37+L48+L56</f>
        <v>40630.870000000003</v>
      </c>
      <c r="M36" s="262">
        <f>M37+M48+M56</f>
        <v>-51.419999999999995</v>
      </c>
      <c r="N36" s="262">
        <f>N37+N48+N56</f>
        <v>40579.449999999997</v>
      </c>
      <c r="O36" s="262">
        <f>O37+O48+O56</f>
        <v>40591.879999999997</v>
      </c>
    </row>
    <row r="37" spans="1:15" ht="21" customHeight="1" x14ac:dyDescent="0.2">
      <c r="A37" s="462" t="s">
        <v>1056</v>
      </c>
      <c r="B37" s="250" t="s">
        <v>73</v>
      </c>
      <c r="C37" s="250" t="s">
        <v>233</v>
      </c>
      <c r="D37" s="250" t="s">
        <v>190</v>
      </c>
      <c r="E37" s="253" t="s">
        <v>747</v>
      </c>
      <c r="F37" s="250"/>
      <c r="G37" s="257">
        <v>25659.35</v>
      </c>
      <c r="H37" s="257">
        <v>1741.03</v>
      </c>
      <c r="I37" s="257">
        <v>19748</v>
      </c>
      <c r="J37" s="257">
        <f>J38+J39+J40+J41+J42+J45</f>
        <v>7879</v>
      </c>
      <c r="K37" s="257">
        <f>L38+L39+L40+L41+L42+L45</f>
        <v>27612.79</v>
      </c>
      <c r="L37" s="257">
        <f>L38+L39+L40+L41+L42+L45</f>
        <v>27612.79</v>
      </c>
      <c r="M37" s="257">
        <f>M38+M39+M40+M41+M42+M45</f>
        <v>-39.799999999999997</v>
      </c>
      <c r="N37" s="257">
        <f>N38+N39+N40+N41+N42+N45</f>
        <v>27572.99</v>
      </c>
      <c r="O37" s="257">
        <f>O38+O39+O40+O41+O42+O45</f>
        <v>27584.1</v>
      </c>
    </row>
    <row r="38" spans="1:15" ht="32.25" customHeight="1" x14ac:dyDescent="0.2">
      <c r="A38" s="259" t="s">
        <v>76</v>
      </c>
      <c r="B38" s="252" t="s">
        <v>73</v>
      </c>
      <c r="C38" s="252" t="s">
        <v>233</v>
      </c>
      <c r="D38" s="252" t="s">
        <v>190</v>
      </c>
      <c r="E38" s="251" t="s">
        <v>747</v>
      </c>
      <c r="F38" s="252" t="s">
        <v>77</v>
      </c>
      <c r="G38" s="257">
        <v>17039</v>
      </c>
      <c r="H38" s="257">
        <v>1838</v>
      </c>
      <c r="I38" s="257">
        <v>17039</v>
      </c>
      <c r="J38" s="257">
        <v>7879</v>
      </c>
      <c r="K38" s="257">
        <f t="shared" ref="K38:K41" si="27">I38+J38</f>
        <v>24918</v>
      </c>
      <c r="L38" s="257">
        <v>24918</v>
      </c>
      <c r="M38" s="257">
        <v>0</v>
      </c>
      <c r="N38" s="257">
        <f>L38+M38</f>
        <v>24918</v>
      </c>
      <c r="O38" s="257">
        <v>24918</v>
      </c>
    </row>
    <row r="39" spans="1:15" ht="32.25" hidden="1" customHeight="1" x14ac:dyDescent="0.2">
      <c r="A39" s="259" t="s">
        <v>76</v>
      </c>
      <c r="B39" s="252" t="s">
        <v>73</v>
      </c>
      <c r="C39" s="252" t="s">
        <v>233</v>
      </c>
      <c r="D39" s="252" t="s">
        <v>190</v>
      </c>
      <c r="E39" s="251" t="s">
        <v>1250</v>
      </c>
      <c r="F39" s="252" t="s">
        <v>77</v>
      </c>
      <c r="G39" s="257">
        <v>5700</v>
      </c>
      <c r="H39" s="257">
        <v>0</v>
      </c>
      <c r="I39" s="257">
        <v>0</v>
      </c>
      <c r="J39" s="257">
        <v>0</v>
      </c>
      <c r="K39" s="257">
        <f t="shared" si="27"/>
        <v>0</v>
      </c>
      <c r="L39" s="257">
        <v>0</v>
      </c>
      <c r="M39" s="257">
        <v>0</v>
      </c>
      <c r="N39" s="257">
        <f>L39+M39</f>
        <v>0</v>
      </c>
      <c r="O39" s="257">
        <v>0</v>
      </c>
    </row>
    <row r="40" spans="1:15" ht="32.25" customHeight="1" x14ac:dyDescent="0.2">
      <c r="A40" s="259" t="s">
        <v>76</v>
      </c>
      <c r="B40" s="252" t="s">
        <v>73</v>
      </c>
      <c r="C40" s="252" t="s">
        <v>233</v>
      </c>
      <c r="D40" s="252" t="s">
        <v>190</v>
      </c>
      <c r="E40" s="251" t="s">
        <v>1058</v>
      </c>
      <c r="F40" s="252" t="s">
        <v>77</v>
      </c>
      <c r="G40" s="257">
        <v>1626</v>
      </c>
      <c r="H40" s="257">
        <v>0</v>
      </c>
      <c r="I40" s="257">
        <v>1626</v>
      </c>
      <c r="J40" s="257">
        <v>0</v>
      </c>
      <c r="K40" s="257">
        <f t="shared" si="27"/>
        <v>1626</v>
      </c>
      <c r="L40" s="257">
        <v>1626</v>
      </c>
      <c r="M40" s="257">
        <v>0</v>
      </c>
      <c r="N40" s="257">
        <f>L40+M40</f>
        <v>1626</v>
      </c>
      <c r="O40" s="257">
        <v>1626</v>
      </c>
    </row>
    <row r="41" spans="1:15" ht="32.25" customHeight="1" x14ac:dyDescent="0.2">
      <c r="A41" s="259" t="s">
        <v>997</v>
      </c>
      <c r="B41" s="252" t="s">
        <v>73</v>
      </c>
      <c r="C41" s="252" t="s">
        <v>233</v>
      </c>
      <c r="D41" s="252" t="s">
        <v>190</v>
      </c>
      <c r="E41" s="251" t="s">
        <v>747</v>
      </c>
      <c r="F41" s="252" t="s">
        <v>79</v>
      </c>
      <c r="G41" s="257">
        <v>500</v>
      </c>
      <c r="H41" s="257">
        <v>0</v>
      </c>
      <c r="I41" s="257">
        <v>500</v>
      </c>
      <c r="J41" s="257">
        <v>0</v>
      </c>
      <c r="K41" s="257">
        <f t="shared" si="27"/>
        <v>500</v>
      </c>
      <c r="L41" s="257">
        <v>500</v>
      </c>
      <c r="M41" s="257">
        <v>0</v>
      </c>
      <c r="N41" s="257">
        <f>L41+M41</f>
        <v>500</v>
      </c>
      <c r="O41" s="257">
        <v>500</v>
      </c>
    </row>
    <row r="42" spans="1:15" ht="47.25" customHeight="1" x14ac:dyDescent="0.2">
      <c r="A42" s="259" t="s">
        <v>1239</v>
      </c>
      <c r="B42" s="252" t="s">
        <v>73</v>
      </c>
      <c r="C42" s="252" t="s">
        <v>233</v>
      </c>
      <c r="D42" s="252" t="s">
        <v>190</v>
      </c>
      <c r="E42" s="251" t="s">
        <v>1240</v>
      </c>
      <c r="F42" s="252"/>
      <c r="G42" s="257">
        <v>794.35</v>
      </c>
      <c r="H42" s="257">
        <v>-147.97999999999999</v>
      </c>
      <c r="I42" s="257">
        <v>583</v>
      </c>
      <c r="J42" s="257">
        <f>J43+J44</f>
        <v>0</v>
      </c>
      <c r="K42" s="257">
        <f>L43+L44</f>
        <v>568.79000000000008</v>
      </c>
      <c r="L42" s="257">
        <f>L43+L44</f>
        <v>568.79000000000008</v>
      </c>
      <c r="M42" s="257">
        <f>M43+M44</f>
        <v>-39.799999999999997</v>
      </c>
      <c r="N42" s="257">
        <f>N43+N44</f>
        <v>528.99</v>
      </c>
      <c r="O42" s="257">
        <f>O43+O44</f>
        <v>540.1</v>
      </c>
    </row>
    <row r="43" spans="1:15" ht="16.5" customHeight="1" x14ac:dyDescent="0.2">
      <c r="A43" s="259" t="s">
        <v>78</v>
      </c>
      <c r="B43" s="252" t="s">
        <v>73</v>
      </c>
      <c r="C43" s="252" t="s">
        <v>233</v>
      </c>
      <c r="D43" s="252" t="s">
        <v>190</v>
      </c>
      <c r="E43" s="251" t="s">
        <v>1240</v>
      </c>
      <c r="F43" s="252" t="s">
        <v>79</v>
      </c>
      <c r="G43" s="257">
        <v>786.4</v>
      </c>
      <c r="H43" s="257">
        <v>-146.5</v>
      </c>
      <c r="I43" s="257">
        <v>577.1</v>
      </c>
      <c r="J43" s="257">
        <v>0</v>
      </c>
      <c r="K43" s="257">
        <f>I43+J43</f>
        <v>577.1</v>
      </c>
      <c r="L43" s="257">
        <v>563.1</v>
      </c>
      <c r="M43" s="257">
        <v>-39.4</v>
      </c>
      <c r="N43" s="257">
        <f>L43+M43</f>
        <v>523.70000000000005</v>
      </c>
      <c r="O43" s="257">
        <v>534.70000000000005</v>
      </c>
    </row>
    <row r="44" spans="1:15" ht="18.75" customHeight="1" x14ac:dyDescent="0.2">
      <c r="A44" s="259" t="s">
        <v>1111</v>
      </c>
      <c r="B44" s="252" t="s">
        <v>73</v>
      </c>
      <c r="C44" s="252" t="s">
        <v>233</v>
      </c>
      <c r="D44" s="252" t="s">
        <v>190</v>
      </c>
      <c r="E44" s="251" t="s">
        <v>1240</v>
      </c>
      <c r="F44" s="252" t="s">
        <v>79</v>
      </c>
      <c r="G44" s="257">
        <v>7.95</v>
      </c>
      <c r="H44" s="257">
        <v>-1.48</v>
      </c>
      <c r="I44" s="257">
        <v>5.9</v>
      </c>
      <c r="J44" s="257">
        <v>0</v>
      </c>
      <c r="K44" s="257">
        <f>I44+J44</f>
        <v>5.9</v>
      </c>
      <c r="L44" s="257">
        <v>5.69</v>
      </c>
      <c r="M44" s="257">
        <v>-0.4</v>
      </c>
      <c r="N44" s="257">
        <f>L44+M44</f>
        <v>5.29</v>
      </c>
      <c r="O44" s="257">
        <v>5.4</v>
      </c>
    </row>
    <row r="45" spans="1:15" ht="18.75" hidden="1" customHeight="1" x14ac:dyDescent="0.2">
      <c r="A45" s="259" t="s">
        <v>1208</v>
      </c>
      <c r="B45" s="252" t="s">
        <v>73</v>
      </c>
      <c r="C45" s="252" t="s">
        <v>233</v>
      </c>
      <c r="D45" s="252" t="s">
        <v>190</v>
      </c>
      <c r="E45" s="251" t="s">
        <v>1209</v>
      </c>
      <c r="F45" s="252"/>
      <c r="G45" s="257">
        <v>0</v>
      </c>
      <c r="H45" s="257">
        <v>51.01</v>
      </c>
      <c r="I45" s="257">
        <v>0</v>
      </c>
      <c r="J45" s="257">
        <f t="shared" ref="J45" si="28">J46+J47</f>
        <v>0</v>
      </c>
      <c r="K45" s="257">
        <f>L46+L47</f>
        <v>0</v>
      </c>
      <c r="L45" s="257">
        <f t="shared" ref="L45:N45" si="29">L46+L47</f>
        <v>0</v>
      </c>
      <c r="M45" s="257">
        <f t="shared" si="29"/>
        <v>0</v>
      </c>
      <c r="N45" s="257">
        <f t="shared" si="29"/>
        <v>0</v>
      </c>
      <c r="O45" s="257">
        <f t="shared" ref="O45" si="30">O46+O47</f>
        <v>0</v>
      </c>
    </row>
    <row r="46" spans="1:15" ht="18.75" hidden="1" customHeight="1" x14ac:dyDescent="0.2">
      <c r="A46" s="259" t="s">
        <v>78</v>
      </c>
      <c r="B46" s="252" t="s">
        <v>73</v>
      </c>
      <c r="C46" s="252" t="s">
        <v>233</v>
      </c>
      <c r="D46" s="252" t="s">
        <v>190</v>
      </c>
      <c r="E46" s="251" t="s">
        <v>1209</v>
      </c>
      <c r="F46" s="252" t="s">
        <v>79</v>
      </c>
      <c r="G46" s="257">
        <v>0</v>
      </c>
      <c r="H46" s="257">
        <v>50.5</v>
      </c>
      <c r="I46" s="257">
        <v>0</v>
      </c>
      <c r="J46" s="257">
        <v>0</v>
      </c>
      <c r="K46" s="257">
        <f>I46+J46</f>
        <v>0</v>
      </c>
      <c r="L46" s="257">
        <v>0</v>
      </c>
      <c r="M46" s="257">
        <v>0</v>
      </c>
      <c r="N46" s="257">
        <f>L46+M46</f>
        <v>0</v>
      </c>
      <c r="O46" s="257">
        <v>0</v>
      </c>
    </row>
    <row r="47" spans="1:15" ht="18.75" hidden="1" customHeight="1" x14ac:dyDescent="0.2">
      <c r="A47" s="259" t="s">
        <v>1111</v>
      </c>
      <c r="B47" s="252" t="s">
        <v>73</v>
      </c>
      <c r="C47" s="252" t="s">
        <v>233</v>
      </c>
      <c r="D47" s="252" t="s">
        <v>190</v>
      </c>
      <c r="E47" s="251" t="s">
        <v>1209</v>
      </c>
      <c r="F47" s="252" t="s">
        <v>79</v>
      </c>
      <c r="G47" s="257">
        <v>0</v>
      </c>
      <c r="H47" s="257">
        <v>0.51</v>
      </c>
      <c r="I47" s="257">
        <v>0</v>
      </c>
      <c r="J47" s="257">
        <v>0</v>
      </c>
      <c r="K47" s="257">
        <f>I47+J47</f>
        <v>0</v>
      </c>
      <c r="L47" s="257">
        <v>0</v>
      </c>
      <c r="M47" s="257">
        <v>0</v>
      </c>
      <c r="N47" s="257">
        <f>L47+M47</f>
        <v>0</v>
      </c>
      <c r="O47" s="257">
        <v>0</v>
      </c>
    </row>
    <row r="48" spans="1:15" ht="24.75" customHeight="1" x14ac:dyDescent="0.2">
      <c r="A48" s="462" t="s">
        <v>1059</v>
      </c>
      <c r="B48" s="250" t="s">
        <v>73</v>
      </c>
      <c r="C48" s="250" t="s">
        <v>233</v>
      </c>
      <c r="D48" s="250" t="s">
        <v>190</v>
      </c>
      <c r="E48" s="253" t="s">
        <v>746</v>
      </c>
      <c r="F48" s="250"/>
      <c r="G48" s="257">
        <v>10984.9</v>
      </c>
      <c r="H48" s="257">
        <v>612</v>
      </c>
      <c r="I48" s="257">
        <v>8964.5</v>
      </c>
      <c r="J48" s="257">
        <f t="shared" ref="J48" si="31">J49+J50+J51+J52+J53</f>
        <v>2656</v>
      </c>
      <c r="K48" s="257">
        <f>L49+L50+L51+L52+L53</f>
        <v>11006.08</v>
      </c>
      <c r="L48" s="257">
        <f>L49+L50+L51+L52+L53</f>
        <v>11006.08</v>
      </c>
      <c r="M48" s="257">
        <f>M49+M50+M51+M52+M53</f>
        <v>-11.62</v>
      </c>
      <c r="N48" s="257">
        <f>N49+N50+N51+N52+N53</f>
        <v>10994.46</v>
      </c>
      <c r="O48" s="257">
        <f t="shared" ref="O48" si="32">O49+O50+O51+O52+O53</f>
        <v>10995.78</v>
      </c>
    </row>
    <row r="49" spans="1:15" ht="32.25" customHeight="1" x14ac:dyDescent="0.2">
      <c r="A49" s="259" t="s">
        <v>76</v>
      </c>
      <c r="B49" s="252" t="s">
        <v>73</v>
      </c>
      <c r="C49" s="252" t="s">
        <v>233</v>
      </c>
      <c r="D49" s="252" t="s">
        <v>190</v>
      </c>
      <c r="E49" s="251" t="s">
        <v>746</v>
      </c>
      <c r="F49" s="252" t="s">
        <v>77</v>
      </c>
      <c r="G49" s="257">
        <v>8292</v>
      </c>
      <c r="H49" s="257">
        <v>612</v>
      </c>
      <c r="I49" s="257">
        <v>8292</v>
      </c>
      <c r="J49" s="257">
        <v>2656</v>
      </c>
      <c r="K49" s="257">
        <f t="shared" ref="K49:K51" si="33">I49+J49</f>
        <v>10948</v>
      </c>
      <c r="L49" s="257">
        <v>10948</v>
      </c>
      <c r="M49" s="257">
        <v>0</v>
      </c>
      <c r="N49" s="257">
        <f>L49+M49</f>
        <v>10948</v>
      </c>
      <c r="O49" s="257">
        <v>10948</v>
      </c>
    </row>
    <row r="50" spans="1:15" ht="32.25" hidden="1" customHeight="1" x14ac:dyDescent="0.2">
      <c r="A50" s="259" t="s">
        <v>76</v>
      </c>
      <c r="B50" s="252" t="s">
        <v>73</v>
      </c>
      <c r="C50" s="252" t="s">
        <v>233</v>
      </c>
      <c r="D50" s="252" t="s">
        <v>190</v>
      </c>
      <c r="E50" s="251" t="s">
        <v>1251</v>
      </c>
      <c r="F50" s="252" t="s">
        <v>77</v>
      </c>
      <c r="G50" s="257">
        <v>2020</v>
      </c>
      <c r="H50" s="257">
        <v>0</v>
      </c>
      <c r="I50" s="257">
        <v>0</v>
      </c>
      <c r="J50" s="257">
        <v>0</v>
      </c>
      <c r="K50" s="257">
        <f t="shared" si="33"/>
        <v>0</v>
      </c>
      <c r="L50" s="257">
        <v>0</v>
      </c>
      <c r="M50" s="257">
        <v>0</v>
      </c>
      <c r="N50" s="257">
        <f>L50+M50</f>
        <v>0</v>
      </c>
      <c r="O50" s="257">
        <v>0</v>
      </c>
    </row>
    <row r="51" spans="1:15" ht="32.25" hidden="1" customHeight="1" x14ac:dyDescent="0.2">
      <c r="A51" s="259" t="s">
        <v>76</v>
      </c>
      <c r="B51" s="252" t="s">
        <v>73</v>
      </c>
      <c r="C51" s="252" t="s">
        <v>233</v>
      </c>
      <c r="D51" s="252" t="s">
        <v>190</v>
      </c>
      <c r="E51" s="251" t="s">
        <v>1061</v>
      </c>
      <c r="F51" s="252" t="s">
        <v>77</v>
      </c>
      <c r="G51" s="257">
        <v>522.5</v>
      </c>
      <c r="H51" s="257">
        <v>0</v>
      </c>
      <c r="I51" s="257">
        <v>522.5</v>
      </c>
      <c r="J51" s="257">
        <v>0</v>
      </c>
      <c r="K51" s="257">
        <f t="shared" si="33"/>
        <v>522.5</v>
      </c>
      <c r="L51" s="257">
        <v>0</v>
      </c>
      <c r="M51" s="257">
        <v>0</v>
      </c>
      <c r="N51" s="257">
        <f>L51+M51</f>
        <v>0</v>
      </c>
      <c r="O51" s="257">
        <v>0</v>
      </c>
    </row>
    <row r="52" spans="1:15" ht="20.25" hidden="1" customHeight="1" x14ac:dyDescent="0.2">
      <c r="A52" s="259" t="s">
        <v>998</v>
      </c>
      <c r="B52" s="252" t="s">
        <v>73</v>
      </c>
      <c r="C52" s="252" t="s">
        <v>233</v>
      </c>
      <c r="D52" s="252" t="s">
        <v>190</v>
      </c>
      <c r="E52" s="251" t="s">
        <v>746</v>
      </c>
      <c r="F52" s="252" t="s">
        <v>79</v>
      </c>
      <c r="G52" s="257">
        <v>150</v>
      </c>
      <c r="H52" s="257">
        <v>0</v>
      </c>
      <c r="I52" s="257">
        <v>150</v>
      </c>
      <c r="J52" s="257">
        <v>0</v>
      </c>
      <c r="K52" s="257">
        <f>I52+J52</f>
        <v>150</v>
      </c>
      <c r="L52" s="257">
        <v>0</v>
      </c>
      <c r="M52" s="257">
        <v>0</v>
      </c>
      <c r="N52" s="257">
        <f>L52+M52</f>
        <v>0</v>
      </c>
      <c r="O52" s="257">
        <v>0</v>
      </c>
    </row>
    <row r="53" spans="1:15" ht="42" customHeight="1" x14ac:dyDescent="0.2">
      <c r="A53" s="259" t="s">
        <v>1175</v>
      </c>
      <c r="B53" s="252" t="s">
        <v>73</v>
      </c>
      <c r="C53" s="252" t="s">
        <v>233</v>
      </c>
      <c r="D53" s="252" t="s">
        <v>190</v>
      </c>
      <c r="E53" s="251" t="s">
        <v>1174</v>
      </c>
      <c r="F53" s="252"/>
      <c r="G53" s="257">
        <v>0.4</v>
      </c>
      <c r="H53" s="257">
        <v>0</v>
      </c>
      <c r="I53" s="257">
        <v>0</v>
      </c>
      <c r="J53" s="257">
        <v>0</v>
      </c>
      <c r="K53" s="257">
        <f>L54+L55</f>
        <v>58.08</v>
      </c>
      <c r="L53" s="257">
        <f t="shared" ref="L53:O53" si="34">L54+L55</f>
        <v>58.08</v>
      </c>
      <c r="M53" s="257">
        <f t="shared" si="34"/>
        <v>-11.62</v>
      </c>
      <c r="N53" s="257">
        <f t="shared" si="34"/>
        <v>46.46</v>
      </c>
      <c r="O53" s="257">
        <f t="shared" si="34"/>
        <v>47.779999999999994</v>
      </c>
    </row>
    <row r="54" spans="1:15" ht="19.5" customHeight="1" x14ac:dyDescent="0.2">
      <c r="A54" s="259" t="s">
        <v>78</v>
      </c>
      <c r="B54" s="252" t="s">
        <v>73</v>
      </c>
      <c r="C54" s="252" t="s">
        <v>233</v>
      </c>
      <c r="D54" s="252" t="s">
        <v>190</v>
      </c>
      <c r="E54" s="251" t="s">
        <v>1174</v>
      </c>
      <c r="F54" s="252" t="s">
        <v>79</v>
      </c>
      <c r="G54" s="257">
        <v>0.4</v>
      </c>
      <c r="H54" s="257">
        <v>-0.4</v>
      </c>
      <c r="I54" s="257">
        <v>0</v>
      </c>
      <c r="J54" s="257">
        <v>66.2</v>
      </c>
      <c r="K54" s="257">
        <f>I54+J54</f>
        <v>66.2</v>
      </c>
      <c r="L54" s="257">
        <v>57.5</v>
      </c>
      <c r="M54" s="257">
        <v>-11.5</v>
      </c>
      <c r="N54" s="257">
        <f>L54+M54</f>
        <v>46</v>
      </c>
      <c r="O54" s="257">
        <v>47.3</v>
      </c>
    </row>
    <row r="55" spans="1:15" ht="19.5" customHeight="1" x14ac:dyDescent="0.2">
      <c r="A55" s="259" t="s">
        <v>1071</v>
      </c>
      <c r="B55" s="252" t="s">
        <v>73</v>
      </c>
      <c r="C55" s="252" t="s">
        <v>233</v>
      </c>
      <c r="D55" s="252" t="s">
        <v>190</v>
      </c>
      <c r="E55" s="251" t="s">
        <v>1174</v>
      </c>
      <c r="F55" s="252" t="s">
        <v>79</v>
      </c>
      <c r="G55" s="257">
        <v>0</v>
      </c>
      <c r="H55" s="257">
        <v>0</v>
      </c>
      <c r="I55" s="257">
        <v>0</v>
      </c>
      <c r="J55" s="257">
        <v>0.66800000000000004</v>
      </c>
      <c r="K55" s="257">
        <f>I55+J55</f>
        <v>0.66800000000000004</v>
      </c>
      <c r="L55" s="257">
        <v>0.57999999999999996</v>
      </c>
      <c r="M55" s="257">
        <v>-0.12</v>
      </c>
      <c r="N55" s="257">
        <f>L55+M55</f>
        <v>0.45999999999999996</v>
      </c>
      <c r="O55" s="257">
        <v>0.48</v>
      </c>
    </row>
    <row r="56" spans="1:15" ht="31.5" customHeight="1" x14ac:dyDescent="0.2">
      <c r="A56" s="462" t="s">
        <v>1158</v>
      </c>
      <c r="B56" s="250" t="s">
        <v>73</v>
      </c>
      <c r="C56" s="250" t="s">
        <v>233</v>
      </c>
      <c r="D56" s="250" t="s">
        <v>190</v>
      </c>
      <c r="E56" s="253" t="s">
        <v>748</v>
      </c>
      <c r="F56" s="250"/>
      <c r="G56" s="257">
        <v>0</v>
      </c>
      <c r="H56" s="257">
        <v>2000</v>
      </c>
      <c r="I56" s="257">
        <v>2000</v>
      </c>
      <c r="J56" s="257">
        <f>J57+J58+J62</f>
        <v>12</v>
      </c>
      <c r="K56" s="257">
        <f>L57+L58+L62</f>
        <v>2012</v>
      </c>
      <c r="L56" s="257">
        <f>L57+L58+L62</f>
        <v>2012</v>
      </c>
      <c r="M56" s="257">
        <f>M57+M58+M62</f>
        <v>0</v>
      </c>
      <c r="N56" s="257">
        <f>N57+N58+N62</f>
        <v>2012</v>
      </c>
      <c r="O56" s="257">
        <f>O57+O58+O62</f>
        <v>2012</v>
      </c>
    </row>
    <row r="57" spans="1:15" ht="31.5" customHeight="1" x14ac:dyDescent="0.2">
      <c r="A57" s="259" t="s">
        <v>76</v>
      </c>
      <c r="B57" s="252" t="s">
        <v>73</v>
      </c>
      <c r="C57" s="252" t="s">
        <v>233</v>
      </c>
      <c r="D57" s="252" t="s">
        <v>190</v>
      </c>
      <c r="E57" s="251" t="s">
        <v>748</v>
      </c>
      <c r="F57" s="252" t="s">
        <v>77</v>
      </c>
      <c r="G57" s="257">
        <v>0</v>
      </c>
      <c r="H57" s="257">
        <v>1930</v>
      </c>
      <c r="I57" s="257">
        <v>1930</v>
      </c>
      <c r="J57" s="257">
        <v>12</v>
      </c>
      <c r="K57" s="257">
        <f t="shared" ref="K57:K58" si="35">I57+J57</f>
        <v>1942</v>
      </c>
      <c r="L57" s="257">
        <v>1942</v>
      </c>
      <c r="M57" s="257">
        <v>0</v>
      </c>
      <c r="N57" s="257">
        <f>L57+M57</f>
        <v>1942</v>
      </c>
      <c r="O57" s="257">
        <v>1942</v>
      </c>
    </row>
    <row r="58" spans="1:15" ht="31.5" customHeight="1" x14ac:dyDescent="0.2">
      <c r="A58" s="259" t="s">
        <v>76</v>
      </c>
      <c r="B58" s="252" t="s">
        <v>73</v>
      </c>
      <c r="C58" s="252" t="s">
        <v>233</v>
      </c>
      <c r="D58" s="252" t="s">
        <v>190</v>
      </c>
      <c r="E58" s="251" t="s">
        <v>744</v>
      </c>
      <c r="F58" s="252" t="s">
        <v>77</v>
      </c>
      <c r="G58" s="257">
        <v>0</v>
      </c>
      <c r="H58" s="257">
        <v>70</v>
      </c>
      <c r="I58" s="257">
        <v>70</v>
      </c>
      <c r="J58" s="257">
        <v>0</v>
      </c>
      <c r="K58" s="257">
        <f t="shared" si="35"/>
        <v>70</v>
      </c>
      <c r="L58" s="257">
        <v>70</v>
      </c>
      <c r="M58" s="257">
        <v>0</v>
      </c>
      <c r="N58" s="257">
        <f>L58+M58</f>
        <v>70</v>
      </c>
      <c r="O58" s="257">
        <v>70</v>
      </c>
    </row>
    <row r="59" spans="1:15" ht="15" customHeight="1" x14ac:dyDescent="0.2">
      <c r="A59" s="462" t="s">
        <v>235</v>
      </c>
      <c r="B59" s="250" t="s">
        <v>73</v>
      </c>
      <c r="C59" s="250" t="s">
        <v>233</v>
      </c>
      <c r="D59" s="250" t="s">
        <v>196</v>
      </c>
      <c r="E59" s="250"/>
      <c r="F59" s="250"/>
      <c r="G59" s="275">
        <v>11789</v>
      </c>
      <c r="H59" s="275">
        <v>-334</v>
      </c>
      <c r="I59" s="275">
        <v>9949</v>
      </c>
      <c r="J59" s="275">
        <f t="shared" ref="J59" si="36">J60+J70</f>
        <v>1477</v>
      </c>
      <c r="K59" s="275">
        <f>L60+L70</f>
        <v>11486</v>
      </c>
      <c r="L59" s="275">
        <f t="shared" ref="L59" si="37">L60+L70</f>
        <v>11486</v>
      </c>
      <c r="M59" s="275">
        <f t="shared" ref="M59:N59" si="38">M60+M70</f>
        <v>0</v>
      </c>
      <c r="N59" s="275">
        <f t="shared" si="38"/>
        <v>11486</v>
      </c>
      <c r="O59" s="275">
        <f t="shared" ref="O59" si="39">O60+O70</f>
        <v>11486</v>
      </c>
    </row>
    <row r="60" spans="1:15" ht="36" customHeight="1" x14ac:dyDescent="0.2">
      <c r="A60" s="420" t="s">
        <v>1163</v>
      </c>
      <c r="B60" s="250" t="s">
        <v>73</v>
      </c>
      <c r="C60" s="250" t="s">
        <v>233</v>
      </c>
      <c r="D60" s="250" t="s">
        <v>196</v>
      </c>
      <c r="E60" s="253" t="s">
        <v>1019</v>
      </c>
      <c r="F60" s="250"/>
      <c r="G60" s="275">
        <v>10792</v>
      </c>
      <c r="H60" s="275">
        <v>-6676</v>
      </c>
      <c r="I60" s="275">
        <v>9452</v>
      </c>
      <c r="J60" s="275">
        <f t="shared" ref="J60" si="40">J61+J63+J62+J67+J68+J65+J66+J69</f>
        <v>-5288</v>
      </c>
      <c r="K60" s="275">
        <f>L61+L63+L62+L67+L68+L65+L66+L69</f>
        <v>4194</v>
      </c>
      <c r="L60" s="275">
        <f t="shared" ref="L60" si="41">L61+L63+L62+L67+L68+L65+L66+L69</f>
        <v>4194</v>
      </c>
      <c r="M60" s="275">
        <f t="shared" ref="M60:N60" si="42">M61+M63+M62+M67+M68+M65+M66+M69</f>
        <v>0</v>
      </c>
      <c r="N60" s="275">
        <f t="shared" si="42"/>
        <v>4194</v>
      </c>
      <c r="O60" s="275">
        <f t="shared" ref="O60" si="43">O61+O63+O62+O67+O68+O65+O66+O69</f>
        <v>4194</v>
      </c>
    </row>
    <row r="61" spans="1:15" ht="19.5" customHeight="1" x14ac:dyDescent="0.2">
      <c r="A61" s="259" t="s">
        <v>95</v>
      </c>
      <c r="B61" s="252" t="s">
        <v>73</v>
      </c>
      <c r="C61" s="252" t="s">
        <v>233</v>
      </c>
      <c r="D61" s="252" t="s">
        <v>196</v>
      </c>
      <c r="E61" s="251" t="s">
        <v>1019</v>
      </c>
      <c r="F61" s="252" t="s">
        <v>96</v>
      </c>
      <c r="G61" s="257">
        <v>1386</v>
      </c>
      <c r="H61" s="257">
        <v>80</v>
      </c>
      <c r="I61" s="257">
        <v>1386</v>
      </c>
      <c r="J61" s="257">
        <v>80</v>
      </c>
      <c r="K61" s="257">
        <f t="shared" ref="K61:K63" si="44">I61+J61</f>
        <v>1466</v>
      </c>
      <c r="L61" s="257">
        <v>1466</v>
      </c>
      <c r="M61" s="257">
        <v>0</v>
      </c>
      <c r="N61" s="257">
        <f>L61+M61</f>
        <v>1466</v>
      </c>
      <c r="O61" s="257">
        <v>1466</v>
      </c>
    </row>
    <row r="62" spans="1:15" ht="19.5" hidden="1" customHeight="1" x14ac:dyDescent="0.2">
      <c r="A62" s="259" t="s">
        <v>97</v>
      </c>
      <c r="B62" s="252" t="s">
        <v>73</v>
      </c>
      <c r="C62" s="252" t="s">
        <v>233</v>
      </c>
      <c r="D62" s="252" t="s">
        <v>196</v>
      </c>
      <c r="E62" s="251" t="s">
        <v>1019</v>
      </c>
      <c r="F62" s="252" t="s">
        <v>98</v>
      </c>
      <c r="G62" s="257">
        <v>0</v>
      </c>
      <c r="H62" s="257">
        <v>0</v>
      </c>
      <c r="I62" s="257">
        <v>0</v>
      </c>
      <c r="J62" s="257">
        <v>0</v>
      </c>
      <c r="K62" s="257">
        <f t="shared" si="44"/>
        <v>0</v>
      </c>
      <c r="L62" s="257">
        <v>0</v>
      </c>
      <c r="M62" s="257">
        <v>0</v>
      </c>
      <c r="N62" s="257">
        <f>L62+M62</f>
        <v>0</v>
      </c>
      <c r="O62" s="257">
        <v>0</v>
      </c>
    </row>
    <row r="63" spans="1:15" ht="38.25" customHeight="1" x14ac:dyDescent="0.2">
      <c r="A63" s="273" t="s">
        <v>898</v>
      </c>
      <c r="B63" s="252" t="s">
        <v>73</v>
      </c>
      <c r="C63" s="252" t="s">
        <v>233</v>
      </c>
      <c r="D63" s="252" t="s">
        <v>196</v>
      </c>
      <c r="E63" s="251" t="s">
        <v>1019</v>
      </c>
      <c r="F63" s="252" t="s">
        <v>896</v>
      </c>
      <c r="G63" s="257">
        <v>419</v>
      </c>
      <c r="H63" s="257">
        <v>24</v>
      </c>
      <c r="I63" s="257">
        <v>419</v>
      </c>
      <c r="J63" s="257">
        <v>24</v>
      </c>
      <c r="K63" s="257">
        <f t="shared" si="44"/>
        <v>443</v>
      </c>
      <c r="L63" s="257">
        <v>443</v>
      </c>
      <c r="M63" s="257">
        <v>0</v>
      </c>
      <c r="N63" s="257">
        <f>L63+M63</f>
        <v>443</v>
      </c>
      <c r="O63" s="257">
        <v>443</v>
      </c>
    </row>
    <row r="64" spans="1:15" ht="38.25" hidden="1" customHeight="1" x14ac:dyDescent="0.2">
      <c r="A64" s="273"/>
      <c r="B64" s="252"/>
      <c r="C64" s="252"/>
      <c r="D64" s="252"/>
      <c r="E64" s="251"/>
      <c r="F64" s="252"/>
      <c r="G64" s="257"/>
      <c r="H64" s="257"/>
      <c r="I64" s="257"/>
      <c r="J64" s="257"/>
      <c r="K64" s="257"/>
      <c r="L64" s="257"/>
      <c r="M64" s="257"/>
      <c r="N64" s="257"/>
      <c r="O64" s="257"/>
    </row>
    <row r="65" spans="1:15" ht="17.25" hidden="1" customHeight="1" x14ac:dyDescent="0.2">
      <c r="A65" s="259" t="s">
        <v>95</v>
      </c>
      <c r="B65" s="252" t="s">
        <v>73</v>
      </c>
      <c r="C65" s="252" t="s">
        <v>233</v>
      </c>
      <c r="D65" s="252" t="s">
        <v>196</v>
      </c>
      <c r="E65" s="251" t="s">
        <v>1134</v>
      </c>
      <c r="F65" s="252" t="s">
        <v>96</v>
      </c>
      <c r="G65" s="257">
        <v>1200</v>
      </c>
      <c r="H65" s="257">
        <v>-1200</v>
      </c>
      <c r="I65" s="257">
        <v>0</v>
      </c>
      <c r="J65" s="257">
        <v>0</v>
      </c>
      <c r="K65" s="257">
        <f t="shared" ref="K65:K69" si="45">I65+J65</f>
        <v>0</v>
      </c>
      <c r="L65" s="257">
        <v>0</v>
      </c>
      <c r="M65" s="257">
        <v>0</v>
      </c>
      <c r="N65" s="257">
        <f>L65+M65</f>
        <v>0</v>
      </c>
      <c r="O65" s="257">
        <v>0</v>
      </c>
    </row>
    <row r="66" spans="1:15" ht="31.5" hidden="1" customHeight="1" x14ac:dyDescent="0.2">
      <c r="A66" s="273" t="s">
        <v>898</v>
      </c>
      <c r="B66" s="252" t="s">
        <v>73</v>
      </c>
      <c r="C66" s="252" t="s">
        <v>233</v>
      </c>
      <c r="D66" s="252" t="s">
        <v>196</v>
      </c>
      <c r="E66" s="251" t="s">
        <v>1134</v>
      </c>
      <c r="F66" s="252" t="s">
        <v>896</v>
      </c>
      <c r="G66" s="257">
        <v>140</v>
      </c>
      <c r="H66" s="257">
        <v>-140</v>
      </c>
      <c r="I66" s="257">
        <v>0</v>
      </c>
      <c r="J66" s="257">
        <v>0</v>
      </c>
      <c r="K66" s="257">
        <f t="shared" si="45"/>
        <v>0</v>
      </c>
      <c r="L66" s="257">
        <v>0</v>
      </c>
      <c r="M66" s="257">
        <v>0</v>
      </c>
      <c r="N66" s="257">
        <f>L66+M66</f>
        <v>0</v>
      </c>
      <c r="O66" s="257">
        <v>0</v>
      </c>
    </row>
    <row r="67" spans="1:15" ht="18.75" customHeight="1" x14ac:dyDescent="0.2">
      <c r="A67" s="259" t="s">
        <v>95</v>
      </c>
      <c r="B67" s="252" t="s">
        <v>73</v>
      </c>
      <c r="C67" s="252" t="s">
        <v>233</v>
      </c>
      <c r="D67" s="252" t="s">
        <v>196</v>
      </c>
      <c r="E67" s="251" t="s">
        <v>845</v>
      </c>
      <c r="F67" s="252" t="s">
        <v>96</v>
      </c>
      <c r="G67" s="257">
        <v>4742</v>
      </c>
      <c r="H67" s="257">
        <v>-3070</v>
      </c>
      <c r="I67" s="257">
        <v>4742</v>
      </c>
      <c r="J67" s="257">
        <v>-3010</v>
      </c>
      <c r="K67" s="257">
        <f t="shared" si="45"/>
        <v>1732</v>
      </c>
      <c r="L67" s="257">
        <v>1732</v>
      </c>
      <c r="M67" s="257">
        <v>0</v>
      </c>
      <c r="N67" s="257">
        <f>L67+M67</f>
        <v>1732</v>
      </c>
      <c r="O67" s="257">
        <v>1732</v>
      </c>
    </row>
    <row r="68" spans="1:15" ht="30.75" customHeight="1" x14ac:dyDescent="0.2">
      <c r="A68" s="273" t="s">
        <v>898</v>
      </c>
      <c r="B68" s="252" t="s">
        <v>73</v>
      </c>
      <c r="C68" s="252" t="s">
        <v>233</v>
      </c>
      <c r="D68" s="252" t="s">
        <v>196</v>
      </c>
      <c r="E68" s="251" t="s">
        <v>845</v>
      </c>
      <c r="F68" s="252" t="s">
        <v>896</v>
      </c>
      <c r="G68" s="257">
        <v>1655</v>
      </c>
      <c r="H68" s="257">
        <v>-1150</v>
      </c>
      <c r="I68" s="257">
        <v>1655</v>
      </c>
      <c r="J68" s="257">
        <v>-1132</v>
      </c>
      <c r="K68" s="257">
        <f t="shared" si="45"/>
        <v>523</v>
      </c>
      <c r="L68" s="257">
        <v>523</v>
      </c>
      <c r="M68" s="257">
        <v>0</v>
      </c>
      <c r="N68" s="257">
        <f>L68+M68</f>
        <v>523</v>
      </c>
      <c r="O68" s="257">
        <v>523</v>
      </c>
    </row>
    <row r="69" spans="1:15" ht="19.5" customHeight="1" x14ac:dyDescent="0.2">
      <c r="A69" s="259" t="s">
        <v>97</v>
      </c>
      <c r="B69" s="252" t="s">
        <v>73</v>
      </c>
      <c r="C69" s="252" t="s">
        <v>233</v>
      </c>
      <c r="D69" s="252" t="s">
        <v>196</v>
      </c>
      <c r="E69" s="251" t="s">
        <v>845</v>
      </c>
      <c r="F69" s="252" t="s">
        <v>98</v>
      </c>
      <c r="G69" s="257">
        <v>1250</v>
      </c>
      <c r="H69" s="257">
        <v>-1220</v>
      </c>
      <c r="I69" s="257">
        <v>1250</v>
      </c>
      <c r="J69" s="257">
        <v>-1250</v>
      </c>
      <c r="K69" s="257">
        <f t="shared" si="45"/>
        <v>0</v>
      </c>
      <c r="L69" s="257">
        <v>30</v>
      </c>
      <c r="M69" s="257">
        <v>0</v>
      </c>
      <c r="N69" s="257">
        <f>L69+M69</f>
        <v>30</v>
      </c>
      <c r="O69" s="257">
        <v>30</v>
      </c>
    </row>
    <row r="70" spans="1:15" s="430" customFormat="1" ht="27.75" customHeight="1" x14ac:dyDescent="0.2">
      <c r="A70" s="462" t="s">
        <v>1137</v>
      </c>
      <c r="B70" s="250" t="s">
        <v>73</v>
      </c>
      <c r="C70" s="250" t="s">
        <v>233</v>
      </c>
      <c r="D70" s="250" t="s">
        <v>196</v>
      </c>
      <c r="E70" s="253" t="s">
        <v>845</v>
      </c>
      <c r="F70" s="250"/>
      <c r="G70" s="275">
        <v>997</v>
      </c>
      <c r="H70" s="275">
        <v>6342</v>
      </c>
      <c r="I70" s="275">
        <v>497</v>
      </c>
      <c r="J70" s="275">
        <f t="shared" ref="J70" si="46">J71+J72+J73+J76+J77+J78+J79+J80+J81+J74+J75+J82</f>
        <v>6765</v>
      </c>
      <c r="K70" s="275">
        <f>L71+L72+L73+L76+L77+L78+L79+L80+L81+L74+L75+L82</f>
        <v>7292</v>
      </c>
      <c r="L70" s="275">
        <f t="shared" ref="L70:O70" si="47">L71+L72+L73+L76+L77+L78+L79+L80+L81+L74+L75+L82</f>
        <v>7292</v>
      </c>
      <c r="M70" s="275">
        <f t="shared" si="47"/>
        <v>0</v>
      </c>
      <c r="N70" s="275">
        <f t="shared" si="47"/>
        <v>7292</v>
      </c>
      <c r="O70" s="275">
        <f t="shared" si="47"/>
        <v>7292</v>
      </c>
    </row>
    <row r="71" spans="1:15" ht="18.75" hidden="1" customHeight="1" x14ac:dyDescent="0.2">
      <c r="A71" s="259" t="s">
        <v>95</v>
      </c>
      <c r="B71" s="252" t="s">
        <v>73</v>
      </c>
      <c r="C71" s="252" t="s">
        <v>233</v>
      </c>
      <c r="D71" s="252" t="s">
        <v>196</v>
      </c>
      <c r="E71" s="251" t="s">
        <v>845</v>
      </c>
      <c r="F71" s="252" t="s">
        <v>96</v>
      </c>
      <c r="G71" s="257">
        <v>0</v>
      </c>
      <c r="H71" s="257">
        <v>0</v>
      </c>
      <c r="I71" s="257">
        <v>0</v>
      </c>
      <c r="J71" s="257">
        <f t="shared" ref="J71:K81" si="48">H71+I71</f>
        <v>0</v>
      </c>
      <c r="K71" s="257">
        <f t="shared" si="48"/>
        <v>0</v>
      </c>
      <c r="L71" s="257">
        <v>0</v>
      </c>
      <c r="M71" s="257">
        <f>L71+L71</f>
        <v>0</v>
      </c>
      <c r="N71" s="257">
        <f t="shared" ref="N71:N81" si="49">L71+M71</f>
        <v>0</v>
      </c>
      <c r="O71" s="257">
        <f t="shared" ref="O71" si="50">M71+N71</f>
        <v>0</v>
      </c>
    </row>
    <row r="72" spans="1:15" ht="18.75" customHeight="1" x14ac:dyDescent="0.2">
      <c r="A72" s="375" t="s">
        <v>897</v>
      </c>
      <c r="B72" s="252" t="s">
        <v>73</v>
      </c>
      <c r="C72" s="252" t="s">
        <v>233</v>
      </c>
      <c r="D72" s="252" t="s">
        <v>196</v>
      </c>
      <c r="E72" s="251" t="s">
        <v>845</v>
      </c>
      <c r="F72" s="252" t="s">
        <v>832</v>
      </c>
      <c r="G72" s="257">
        <v>0</v>
      </c>
      <c r="H72" s="257">
        <v>4026</v>
      </c>
      <c r="I72" s="257">
        <v>0</v>
      </c>
      <c r="J72" s="257">
        <v>5196</v>
      </c>
      <c r="K72" s="257">
        <f t="shared" si="48"/>
        <v>5196</v>
      </c>
      <c r="L72" s="257">
        <v>5196</v>
      </c>
      <c r="M72" s="257">
        <v>0</v>
      </c>
      <c r="N72" s="257">
        <f t="shared" si="49"/>
        <v>5196</v>
      </c>
      <c r="O72" s="257">
        <v>5196</v>
      </c>
    </row>
    <row r="73" spans="1:15" ht="37.5" customHeight="1" x14ac:dyDescent="0.2">
      <c r="A73" s="273" t="s">
        <v>900</v>
      </c>
      <c r="B73" s="252" t="s">
        <v>73</v>
      </c>
      <c r="C73" s="252" t="s">
        <v>233</v>
      </c>
      <c r="D73" s="252" t="s">
        <v>196</v>
      </c>
      <c r="E73" s="251" t="s">
        <v>845</v>
      </c>
      <c r="F73" s="252" t="s">
        <v>899</v>
      </c>
      <c r="G73" s="257">
        <v>0</v>
      </c>
      <c r="H73" s="257">
        <v>1198</v>
      </c>
      <c r="I73" s="257">
        <v>0</v>
      </c>
      <c r="J73" s="257">
        <v>1569</v>
      </c>
      <c r="K73" s="257">
        <f t="shared" si="48"/>
        <v>1569</v>
      </c>
      <c r="L73" s="257">
        <v>1569</v>
      </c>
      <c r="M73" s="257">
        <v>0</v>
      </c>
      <c r="N73" s="257">
        <f t="shared" si="49"/>
        <v>1569</v>
      </c>
      <c r="O73" s="257">
        <v>1569</v>
      </c>
    </row>
    <row r="74" spans="1:15" ht="16.5" hidden="1" customHeight="1" x14ac:dyDescent="0.2">
      <c r="A74" s="375" t="s">
        <v>897</v>
      </c>
      <c r="B74" s="252" t="s">
        <v>73</v>
      </c>
      <c r="C74" s="252" t="s">
        <v>233</v>
      </c>
      <c r="D74" s="252" t="s">
        <v>196</v>
      </c>
      <c r="E74" s="251" t="s">
        <v>1252</v>
      </c>
      <c r="F74" s="252" t="s">
        <v>832</v>
      </c>
      <c r="G74" s="257">
        <v>0</v>
      </c>
      <c r="H74" s="257">
        <v>1200</v>
      </c>
      <c r="I74" s="257">
        <v>0</v>
      </c>
      <c r="J74" s="257">
        <v>0</v>
      </c>
      <c r="K74" s="257">
        <f t="shared" si="48"/>
        <v>0</v>
      </c>
      <c r="L74" s="257">
        <v>0</v>
      </c>
      <c r="M74" s="257">
        <v>0</v>
      </c>
      <c r="N74" s="257">
        <f t="shared" si="49"/>
        <v>0</v>
      </c>
      <c r="O74" s="257">
        <v>0</v>
      </c>
    </row>
    <row r="75" spans="1:15" ht="37.5" hidden="1" customHeight="1" x14ac:dyDescent="0.2">
      <c r="A75" s="273" t="s">
        <v>900</v>
      </c>
      <c r="B75" s="252" t="s">
        <v>73</v>
      </c>
      <c r="C75" s="252" t="s">
        <v>233</v>
      </c>
      <c r="D75" s="252" t="s">
        <v>196</v>
      </c>
      <c r="E75" s="251" t="s">
        <v>1252</v>
      </c>
      <c r="F75" s="252" t="s">
        <v>899</v>
      </c>
      <c r="G75" s="257">
        <v>0</v>
      </c>
      <c r="H75" s="257">
        <v>360</v>
      </c>
      <c r="I75" s="257">
        <v>0</v>
      </c>
      <c r="J75" s="257">
        <v>0</v>
      </c>
      <c r="K75" s="257">
        <f t="shared" si="48"/>
        <v>0</v>
      </c>
      <c r="L75" s="257">
        <v>0</v>
      </c>
      <c r="M75" s="257">
        <v>0</v>
      </c>
      <c r="N75" s="257">
        <f t="shared" si="49"/>
        <v>0</v>
      </c>
      <c r="O75" s="257">
        <v>0</v>
      </c>
    </row>
    <row r="76" spans="1:15" ht="15.75" customHeight="1" x14ac:dyDescent="0.2">
      <c r="A76" s="259" t="s">
        <v>952</v>
      </c>
      <c r="B76" s="252" t="s">
        <v>73</v>
      </c>
      <c r="C76" s="252" t="s">
        <v>233</v>
      </c>
      <c r="D76" s="252" t="s">
        <v>196</v>
      </c>
      <c r="E76" s="251" t="s">
        <v>845</v>
      </c>
      <c r="F76" s="252" t="s">
        <v>919</v>
      </c>
      <c r="G76" s="257">
        <v>0</v>
      </c>
      <c r="H76" s="257">
        <v>30</v>
      </c>
      <c r="I76" s="257">
        <v>0</v>
      </c>
      <c r="J76" s="257">
        <v>0</v>
      </c>
      <c r="K76" s="257">
        <f t="shared" si="48"/>
        <v>0</v>
      </c>
      <c r="L76" s="257">
        <v>30</v>
      </c>
      <c r="M76" s="257">
        <v>0</v>
      </c>
      <c r="N76" s="257">
        <f t="shared" si="49"/>
        <v>30</v>
      </c>
      <c r="O76" s="257">
        <v>30</v>
      </c>
    </row>
    <row r="77" spans="1:15" ht="21" hidden="1" customHeight="1" x14ac:dyDescent="0.2">
      <c r="A77" s="259" t="s">
        <v>99</v>
      </c>
      <c r="B77" s="252" t="s">
        <v>73</v>
      </c>
      <c r="C77" s="252" t="s">
        <v>233</v>
      </c>
      <c r="D77" s="252" t="s">
        <v>196</v>
      </c>
      <c r="E77" s="251" t="s">
        <v>845</v>
      </c>
      <c r="F77" s="252" t="s">
        <v>100</v>
      </c>
      <c r="G77" s="257">
        <v>245</v>
      </c>
      <c r="H77" s="257">
        <v>0</v>
      </c>
      <c r="I77" s="257">
        <v>245</v>
      </c>
      <c r="J77" s="257">
        <v>-245</v>
      </c>
      <c r="K77" s="257">
        <f t="shared" si="48"/>
        <v>0</v>
      </c>
      <c r="L77" s="257">
        <v>0</v>
      </c>
      <c r="M77" s="257">
        <v>0</v>
      </c>
      <c r="N77" s="257">
        <f t="shared" si="49"/>
        <v>0</v>
      </c>
      <c r="O77" s="257">
        <v>0</v>
      </c>
    </row>
    <row r="78" spans="1:15" ht="23.25" customHeight="1" x14ac:dyDescent="0.2">
      <c r="A78" s="259" t="s">
        <v>93</v>
      </c>
      <c r="B78" s="252" t="s">
        <v>73</v>
      </c>
      <c r="C78" s="252" t="s">
        <v>233</v>
      </c>
      <c r="D78" s="252" t="s">
        <v>196</v>
      </c>
      <c r="E78" s="251" t="s">
        <v>845</v>
      </c>
      <c r="F78" s="252" t="s">
        <v>94</v>
      </c>
      <c r="G78" s="257">
        <v>250</v>
      </c>
      <c r="H78" s="257">
        <v>0</v>
      </c>
      <c r="I78" s="257">
        <v>252</v>
      </c>
      <c r="J78" s="257">
        <v>245</v>
      </c>
      <c r="K78" s="257">
        <f t="shared" si="48"/>
        <v>497</v>
      </c>
      <c r="L78" s="257">
        <v>497</v>
      </c>
      <c r="M78" s="257">
        <v>0</v>
      </c>
      <c r="N78" s="257">
        <f t="shared" si="49"/>
        <v>497</v>
      </c>
      <c r="O78" s="257">
        <v>497</v>
      </c>
    </row>
    <row r="79" spans="1:15" ht="15.75" hidden="1" customHeight="1" x14ac:dyDescent="0.2">
      <c r="A79" s="259" t="s">
        <v>103</v>
      </c>
      <c r="B79" s="252" t="s">
        <v>73</v>
      </c>
      <c r="C79" s="252" t="s">
        <v>233</v>
      </c>
      <c r="D79" s="252" t="s">
        <v>196</v>
      </c>
      <c r="E79" s="251" t="s">
        <v>845</v>
      </c>
      <c r="F79" s="252" t="s">
        <v>104</v>
      </c>
      <c r="G79" s="257">
        <v>0</v>
      </c>
      <c r="H79" s="257">
        <v>30</v>
      </c>
      <c r="I79" s="257">
        <v>0</v>
      </c>
      <c r="J79" s="257">
        <v>0</v>
      </c>
      <c r="K79" s="257">
        <f t="shared" si="48"/>
        <v>0</v>
      </c>
      <c r="L79" s="257">
        <v>0</v>
      </c>
      <c r="M79" s="257">
        <v>0</v>
      </c>
      <c r="N79" s="257">
        <f t="shared" si="49"/>
        <v>0</v>
      </c>
      <c r="O79" s="257">
        <v>0</v>
      </c>
    </row>
    <row r="80" spans="1:15" ht="13.5" hidden="1" customHeight="1" x14ac:dyDescent="0.2">
      <c r="A80" s="259" t="s">
        <v>105</v>
      </c>
      <c r="B80" s="252" t="s">
        <v>73</v>
      </c>
      <c r="C80" s="252" t="s">
        <v>233</v>
      </c>
      <c r="D80" s="252" t="s">
        <v>196</v>
      </c>
      <c r="E80" s="251" t="s">
        <v>845</v>
      </c>
      <c r="F80" s="252" t="s">
        <v>106</v>
      </c>
      <c r="G80" s="257">
        <v>0</v>
      </c>
      <c r="H80" s="257">
        <v>0</v>
      </c>
      <c r="I80" s="257">
        <v>0</v>
      </c>
      <c r="J80" s="257">
        <v>0</v>
      </c>
      <c r="K80" s="257">
        <f t="shared" si="48"/>
        <v>0</v>
      </c>
      <c r="L80" s="257">
        <v>0</v>
      </c>
      <c r="M80" s="257">
        <v>0</v>
      </c>
      <c r="N80" s="257">
        <f t="shared" si="49"/>
        <v>0</v>
      </c>
      <c r="O80" s="257">
        <f t="shared" ref="O80:O81" si="51">M80+N80</f>
        <v>0</v>
      </c>
    </row>
    <row r="81" spans="1:15" ht="15.75" hidden="1" customHeight="1" x14ac:dyDescent="0.2">
      <c r="A81" s="259" t="s">
        <v>906</v>
      </c>
      <c r="B81" s="252" t="s">
        <v>73</v>
      </c>
      <c r="C81" s="252" t="s">
        <v>233</v>
      </c>
      <c r="D81" s="252" t="s">
        <v>196</v>
      </c>
      <c r="E81" s="251" t="s">
        <v>845</v>
      </c>
      <c r="F81" s="252" t="s">
        <v>905</v>
      </c>
      <c r="G81" s="257">
        <v>2</v>
      </c>
      <c r="H81" s="257">
        <v>-2</v>
      </c>
      <c r="I81" s="257">
        <v>0</v>
      </c>
      <c r="J81" s="257">
        <v>0</v>
      </c>
      <c r="K81" s="257">
        <f t="shared" si="48"/>
        <v>0</v>
      </c>
      <c r="L81" s="257">
        <v>0</v>
      </c>
      <c r="M81" s="257">
        <v>0</v>
      </c>
      <c r="N81" s="257">
        <f t="shared" si="49"/>
        <v>0</v>
      </c>
      <c r="O81" s="257">
        <f t="shared" si="51"/>
        <v>0</v>
      </c>
    </row>
    <row r="82" spans="1:15" ht="33" hidden="1" customHeight="1" x14ac:dyDescent="0.2">
      <c r="A82" s="259" t="s">
        <v>997</v>
      </c>
      <c r="B82" s="252" t="s">
        <v>73</v>
      </c>
      <c r="C82" s="252" t="s">
        <v>233</v>
      </c>
      <c r="D82" s="252" t="s">
        <v>196</v>
      </c>
      <c r="E82" s="251" t="s">
        <v>747</v>
      </c>
      <c r="F82" s="252"/>
      <c r="G82" s="257">
        <v>500</v>
      </c>
      <c r="H82" s="257">
        <v>-500</v>
      </c>
      <c r="I82" s="257">
        <v>0</v>
      </c>
      <c r="J82" s="257">
        <f t="shared" ref="J82:O82" si="52">J83</f>
        <v>0</v>
      </c>
      <c r="K82" s="257">
        <f>L83</f>
        <v>0</v>
      </c>
      <c r="L82" s="257">
        <v>0</v>
      </c>
      <c r="M82" s="257">
        <f t="shared" si="52"/>
        <v>0</v>
      </c>
      <c r="N82" s="257">
        <f t="shared" si="52"/>
        <v>0</v>
      </c>
      <c r="O82" s="257">
        <f t="shared" si="52"/>
        <v>0</v>
      </c>
    </row>
    <row r="83" spans="1:15" ht="20.25" hidden="1" customHeight="1" x14ac:dyDescent="0.2">
      <c r="A83" s="259" t="s">
        <v>93</v>
      </c>
      <c r="B83" s="252" t="s">
        <v>73</v>
      </c>
      <c r="C83" s="252" t="s">
        <v>233</v>
      </c>
      <c r="D83" s="252" t="s">
        <v>196</v>
      </c>
      <c r="E83" s="251" t="s">
        <v>747</v>
      </c>
      <c r="F83" s="252" t="s">
        <v>94</v>
      </c>
      <c r="G83" s="257">
        <v>500</v>
      </c>
      <c r="H83" s="257">
        <v>-500</v>
      </c>
      <c r="I83" s="257">
        <v>0</v>
      </c>
      <c r="J83" s="257">
        <v>0</v>
      </c>
      <c r="K83" s="257">
        <f t="shared" ref="K83" si="53">I83+J83</f>
        <v>0</v>
      </c>
      <c r="L83" s="257">
        <v>0</v>
      </c>
      <c r="M83" s="257">
        <v>0</v>
      </c>
      <c r="N83" s="257">
        <f>L83+M83</f>
        <v>0</v>
      </c>
      <c r="O83" s="257">
        <f t="shared" ref="O83" si="54">M83+N83</f>
        <v>0</v>
      </c>
    </row>
    <row r="84" spans="1:15" s="430" customFormat="1" ht="20.25" customHeight="1" x14ac:dyDescent="0.2">
      <c r="A84" s="462" t="s">
        <v>65</v>
      </c>
      <c r="B84" s="250" t="s">
        <v>73</v>
      </c>
      <c r="C84" s="250">
        <v>10</v>
      </c>
      <c r="D84" s="250"/>
      <c r="E84" s="253"/>
      <c r="F84" s="250"/>
      <c r="G84" s="275">
        <v>4713.7</v>
      </c>
      <c r="H84" s="275">
        <v>-3066.7</v>
      </c>
      <c r="I84" s="275">
        <v>1233.5999999999999</v>
      </c>
      <c r="J84" s="275">
        <f t="shared" ref="J84:O85" si="55">J85</f>
        <v>615.4</v>
      </c>
      <c r="K84" s="275">
        <f>L85</f>
        <v>3640.2</v>
      </c>
      <c r="L84" s="275">
        <f t="shared" si="55"/>
        <v>3640.2</v>
      </c>
      <c r="M84" s="275">
        <f t="shared" si="55"/>
        <v>-1091.0999999999999</v>
      </c>
      <c r="N84" s="275">
        <f t="shared" si="55"/>
        <v>2549.1</v>
      </c>
      <c r="O84" s="275">
        <f t="shared" si="55"/>
        <v>2578.4</v>
      </c>
    </row>
    <row r="85" spans="1:15" ht="20.25" customHeight="1" x14ac:dyDescent="0.2">
      <c r="A85" s="462" t="s">
        <v>278</v>
      </c>
      <c r="B85" s="250" t="s">
        <v>73</v>
      </c>
      <c r="C85" s="250">
        <v>10</v>
      </c>
      <c r="D85" s="250" t="s">
        <v>196</v>
      </c>
      <c r="E85" s="253"/>
      <c r="F85" s="250"/>
      <c r="G85" s="275">
        <v>4713.7</v>
      </c>
      <c r="H85" s="275">
        <v>-3066.7</v>
      </c>
      <c r="I85" s="275">
        <v>1233.5999999999999</v>
      </c>
      <c r="J85" s="275">
        <f t="shared" si="55"/>
        <v>615.4</v>
      </c>
      <c r="K85" s="275">
        <f>L86</f>
        <v>3640.2</v>
      </c>
      <c r="L85" s="275">
        <f t="shared" si="55"/>
        <v>3640.2</v>
      </c>
      <c r="M85" s="275">
        <f t="shared" si="55"/>
        <v>-1091.0999999999999</v>
      </c>
      <c r="N85" s="275">
        <f t="shared" si="55"/>
        <v>2549.1</v>
      </c>
      <c r="O85" s="275">
        <f t="shared" si="55"/>
        <v>2578.4</v>
      </c>
    </row>
    <row r="86" spans="1:15" ht="20.25" customHeight="1" x14ac:dyDescent="0.2">
      <c r="A86" s="259" t="s">
        <v>501</v>
      </c>
      <c r="B86" s="252" t="s">
        <v>73</v>
      </c>
      <c r="C86" s="252">
        <v>10</v>
      </c>
      <c r="D86" s="252" t="s">
        <v>196</v>
      </c>
      <c r="E86" s="251" t="s">
        <v>755</v>
      </c>
      <c r="F86" s="252"/>
      <c r="G86" s="257">
        <v>4713.7</v>
      </c>
      <c r="H86" s="257">
        <v>-3066.7</v>
      </c>
      <c r="I86" s="257">
        <v>1233.5999999999999</v>
      </c>
      <c r="J86" s="257">
        <f t="shared" ref="J86" si="56">J87+J88</f>
        <v>615.4</v>
      </c>
      <c r="K86" s="257">
        <f>L87+L88</f>
        <v>3640.2</v>
      </c>
      <c r="L86" s="257">
        <f t="shared" ref="L86" si="57">L87+L88</f>
        <v>3640.2</v>
      </c>
      <c r="M86" s="257">
        <f t="shared" ref="M86:N86" si="58">M87+M88</f>
        <v>-1091.0999999999999</v>
      </c>
      <c r="N86" s="257">
        <f t="shared" si="58"/>
        <v>2549.1</v>
      </c>
      <c r="O86" s="257">
        <f t="shared" ref="O86" si="59">O87+O88</f>
        <v>2578.4</v>
      </c>
    </row>
    <row r="87" spans="1:15" ht="33.75" customHeight="1" x14ac:dyDescent="0.2">
      <c r="A87" s="259" t="s">
        <v>1299</v>
      </c>
      <c r="B87" s="252" t="s">
        <v>73</v>
      </c>
      <c r="C87" s="252">
        <v>10</v>
      </c>
      <c r="D87" s="252" t="s">
        <v>196</v>
      </c>
      <c r="E87" s="251" t="s">
        <v>1241</v>
      </c>
      <c r="F87" s="252" t="s">
        <v>305</v>
      </c>
      <c r="G87" s="257">
        <v>4313.7</v>
      </c>
      <c r="H87" s="257">
        <v>-3066.7</v>
      </c>
      <c r="I87" s="257">
        <v>1233.5999999999999</v>
      </c>
      <c r="J87" s="257">
        <v>315.39999999999998</v>
      </c>
      <c r="K87" s="257">
        <f t="shared" ref="K87:K89" si="60">I87+J87</f>
        <v>1549</v>
      </c>
      <c r="L87" s="257">
        <v>3240.2</v>
      </c>
      <c r="M87" s="257">
        <v>-1091.0999999999999</v>
      </c>
      <c r="N87" s="257">
        <f>L87+M87</f>
        <v>2149.1</v>
      </c>
      <c r="O87" s="257">
        <v>2178.4</v>
      </c>
    </row>
    <row r="88" spans="1:15" ht="20.25" customHeight="1" x14ac:dyDescent="0.2">
      <c r="A88" s="259" t="s">
        <v>1114</v>
      </c>
      <c r="B88" s="252" t="s">
        <v>73</v>
      </c>
      <c r="C88" s="252">
        <v>10</v>
      </c>
      <c r="D88" s="252" t="s">
        <v>196</v>
      </c>
      <c r="E88" s="251" t="s">
        <v>1241</v>
      </c>
      <c r="F88" s="252" t="s">
        <v>305</v>
      </c>
      <c r="G88" s="257">
        <v>400</v>
      </c>
      <c r="H88" s="257">
        <v>0</v>
      </c>
      <c r="I88" s="257">
        <v>0</v>
      </c>
      <c r="J88" s="257">
        <v>300</v>
      </c>
      <c r="K88" s="257">
        <f t="shared" si="60"/>
        <v>300</v>
      </c>
      <c r="L88" s="257">
        <v>400</v>
      </c>
      <c r="M88" s="257">
        <v>0</v>
      </c>
      <c r="N88" s="257">
        <f>L88+M88</f>
        <v>400</v>
      </c>
      <c r="O88" s="257">
        <v>400</v>
      </c>
    </row>
    <row r="89" spans="1:15" ht="20.25" hidden="1" customHeight="1" x14ac:dyDescent="0.2">
      <c r="A89" s="259" t="s">
        <v>304</v>
      </c>
      <c r="B89" s="252" t="s">
        <v>73</v>
      </c>
      <c r="C89" s="252">
        <v>10</v>
      </c>
      <c r="D89" s="252" t="s">
        <v>194</v>
      </c>
      <c r="E89" s="251" t="s">
        <v>1020</v>
      </c>
      <c r="F89" s="252" t="s">
        <v>305</v>
      </c>
      <c r="G89" s="257">
        <v>0</v>
      </c>
      <c r="H89" s="257">
        <v>0</v>
      </c>
      <c r="I89" s="257">
        <v>0</v>
      </c>
      <c r="J89" s="257">
        <f t="shared" ref="J89" si="61">H89+I89</f>
        <v>0</v>
      </c>
      <c r="K89" s="257">
        <f t="shared" si="60"/>
        <v>0</v>
      </c>
      <c r="L89" s="257">
        <v>0</v>
      </c>
      <c r="M89" s="257">
        <f>L89+L89</f>
        <v>0</v>
      </c>
      <c r="N89" s="257">
        <f>L89+M89</f>
        <v>0</v>
      </c>
      <c r="O89" s="257">
        <f t="shared" ref="O89" si="62">M89+N89</f>
        <v>0</v>
      </c>
    </row>
    <row r="90" spans="1:15" s="430" customFormat="1" ht="20.25" customHeight="1" x14ac:dyDescent="0.2">
      <c r="A90" s="462" t="s">
        <v>271</v>
      </c>
      <c r="B90" s="250" t="s">
        <v>73</v>
      </c>
      <c r="C90" s="250" t="s">
        <v>204</v>
      </c>
      <c r="D90" s="250"/>
      <c r="E90" s="253"/>
      <c r="F90" s="250"/>
      <c r="G90" s="275">
        <v>500</v>
      </c>
      <c r="H90" s="275">
        <v>0</v>
      </c>
      <c r="I90" s="275">
        <v>500</v>
      </c>
      <c r="J90" s="275">
        <f t="shared" ref="J90" si="63">J91+J94</f>
        <v>0</v>
      </c>
      <c r="K90" s="275">
        <f>L91+L94</f>
        <v>500</v>
      </c>
      <c r="L90" s="275">
        <f>L94</f>
        <v>500</v>
      </c>
      <c r="M90" s="275">
        <f t="shared" ref="M90:O90" si="64">M94</f>
        <v>0</v>
      </c>
      <c r="N90" s="275">
        <f t="shared" si="64"/>
        <v>500</v>
      </c>
      <c r="O90" s="275">
        <f t="shared" si="64"/>
        <v>500</v>
      </c>
    </row>
    <row r="91" spans="1:15" ht="20.25" hidden="1" customHeight="1" x14ac:dyDescent="0.2">
      <c r="A91" s="259" t="s">
        <v>280</v>
      </c>
      <c r="B91" s="252" t="s">
        <v>73</v>
      </c>
      <c r="C91" s="252" t="s">
        <v>204</v>
      </c>
      <c r="D91" s="252" t="s">
        <v>190</v>
      </c>
      <c r="E91" s="251"/>
      <c r="F91" s="252"/>
      <c r="G91" s="257">
        <v>500</v>
      </c>
      <c r="H91" s="257">
        <v>-500</v>
      </c>
      <c r="I91" s="257">
        <v>0</v>
      </c>
      <c r="J91" s="257">
        <f t="shared" ref="J91:M91" si="65">J92</f>
        <v>0</v>
      </c>
      <c r="K91" s="257">
        <f>L92</f>
        <v>0</v>
      </c>
      <c r="L91" s="257">
        <f t="shared" si="65"/>
        <v>0</v>
      </c>
      <c r="M91" s="257">
        <f t="shared" si="65"/>
        <v>0</v>
      </c>
      <c r="N91" s="257">
        <f t="shared" ref="L91:O92" si="66">N92</f>
        <v>0</v>
      </c>
      <c r="O91" s="257">
        <f t="shared" si="66"/>
        <v>0</v>
      </c>
    </row>
    <row r="92" spans="1:15" ht="20.25" hidden="1" customHeight="1" x14ac:dyDescent="0.2">
      <c r="A92" s="259" t="s">
        <v>502</v>
      </c>
      <c r="B92" s="252" t="s">
        <v>73</v>
      </c>
      <c r="C92" s="252" t="s">
        <v>204</v>
      </c>
      <c r="D92" s="252" t="s">
        <v>190</v>
      </c>
      <c r="E92" s="251" t="s">
        <v>756</v>
      </c>
      <c r="F92" s="252"/>
      <c r="G92" s="257">
        <v>500</v>
      </c>
      <c r="H92" s="257">
        <v>-500</v>
      </c>
      <c r="I92" s="257">
        <v>0</v>
      </c>
      <c r="J92" s="257">
        <f t="shared" ref="J92" si="67">J93</f>
        <v>0</v>
      </c>
      <c r="K92" s="257">
        <f>L93</f>
        <v>0</v>
      </c>
      <c r="L92" s="257">
        <f t="shared" si="66"/>
        <v>0</v>
      </c>
      <c r="M92" s="257">
        <f t="shared" si="66"/>
        <v>0</v>
      </c>
      <c r="N92" s="257">
        <f t="shared" si="66"/>
        <v>0</v>
      </c>
      <c r="O92" s="257">
        <f t="shared" si="66"/>
        <v>0</v>
      </c>
    </row>
    <row r="93" spans="1:15" ht="20.25" hidden="1" customHeight="1" x14ac:dyDescent="0.2">
      <c r="A93" s="259" t="s">
        <v>93</v>
      </c>
      <c r="B93" s="252" t="s">
        <v>73</v>
      </c>
      <c r="C93" s="252" t="s">
        <v>204</v>
      </c>
      <c r="D93" s="252" t="s">
        <v>190</v>
      </c>
      <c r="E93" s="251" t="s">
        <v>756</v>
      </c>
      <c r="F93" s="252" t="s">
        <v>94</v>
      </c>
      <c r="G93" s="257">
        <v>500</v>
      </c>
      <c r="H93" s="257">
        <v>-500</v>
      </c>
      <c r="I93" s="257">
        <v>0</v>
      </c>
      <c r="J93" s="257">
        <v>0</v>
      </c>
      <c r="K93" s="257">
        <f t="shared" ref="K93" si="68">I93+J93</f>
        <v>0</v>
      </c>
      <c r="L93" s="257">
        <v>0</v>
      </c>
      <c r="M93" s="257">
        <v>0</v>
      </c>
      <c r="N93" s="257">
        <v>0</v>
      </c>
      <c r="O93" s="257">
        <v>0</v>
      </c>
    </row>
    <row r="94" spans="1:15" ht="20.25" customHeight="1" x14ac:dyDescent="0.2">
      <c r="A94" s="462" t="s">
        <v>656</v>
      </c>
      <c r="B94" s="250" t="s">
        <v>73</v>
      </c>
      <c r="C94" s="250" t="s">
        <v>204</v>
      </c>
      <c r="D94" s="250" t="s">
        <v>192</v>
      </c>
      <c r="E94" s="253"/>
      <c r="F94" s="250"/>
      <c r="G94" s="275">
        <v>0</v>
      </c>
      <c r="H94" s="275">
        <v>500</v>
      </c>
      <c r="I94" s="275">
        <v>500</v>
      </c>
      <c r="J94" s="275">
        <f t="shared" ref="J94:O94" si="69">J95</f>
        <v>0</v>
      </c>
      <c r="K94" s="275">
        <f>L95</f>
        <v>500</v>
      </c>
      <c r="L94" s="275">
        <f t="shared" si="69"/>
        <v>500</v>
      </c>
      <c r="M94" s="275">
        <f t="shared" si="69"/>
        <v>0</v>
      </c>
      <c r="N94" s="275">
        <f t="shared" si="69"/>
        <v>500</v>
      </c>
      <c r="O94" s="275">
        <f t="shared" si="69"/>
        <v>500</v>
      </c>
    </row>
    <row r="95" spans="1:15" ht="20.25" customHeight="1" x14ac:dyDescent="0.2">
      <c r="A95" s="259" t="s">
        <v>502</v>
      </c>
      <c r="B95" s="252" t="s">
        <v>73</v>
      </c>
      <c r="C95" s="252" t="s">
        <v>204</v>
      </c>
      <c r="D95" s="252" t="s">
        <v>192</v>
      </c>
      <c r="E95" s="251" t="s">
        <v>756</v>
      </c>
      <c r="F95" s="252" t="s">
        <v>94</v>
      </c>
      <c r="G95" s="257">
        <v>0</v>
      </c>
      <c r="H95" s="257">
        <v>500</v>
      </c>
      <c r="I95" s="257">
        <v>500</v>
      </c>
      <c r="J95" s="257">
        <v>0</v>
      </c>
      <c r="K95" s="257">
        <f t="shared" ref="K95" si="70">I95+J95</f>
        <v>500</v>
      </c>
      <c r="L95" s="257">
        <v>500</v>
      </c>
      <c r="M95" s="257">
        <v>0</v>
      </c>
      <c r="N95" s="257">
        <f>L95+M95</f>
        <v>500</v>
      </c>
      <c r="O95" s="257">
        <v>500</v>
      </c>
    </row>
    <row r="96" spans="1:15" s="428" customFormat="1" ht="19.5" customHeight="1" x14ac:dyDescent="0.2">
      <c r="A96" s="551" t="s">
        <v>911</v>
      </c>
      <c r="B96" s="551"/>
      <c r="C96" s="551"/>
      <c r="D96" s="551"/>
      <c r="E96" s="551"/>
      <c r="F96" s="551"/>
      <c r="G96" s="448">
        <v>385281.65</v>
      </c>
      <c r="H96" s="448">
        <v>125797.73</v>
      </c>
      <c r="I96" s="448">
        <v>224706.74000000005</v>
      </c>
      <c r="J96" s="448" t="e">
        <f>J113+J298</f>
        <v>#REF!</v>
      </c>
      <c r="K96" s="448">
        <f>L113+L298</f>
        <v>483246.51</v>
      </c>
      <c r="L96" s="448">
        <f>L113+L298+L303</f>
        <v>483246.51</v>
      </c>
      <c r="M96" s="448">
        <f>M113+M298+M303</f>
        <v>-18787.427256000068</v>
      </c>
      <c r="N96" s="448">
        <f>N113+N298+N303</f>
        <v>464459.0827439999</v>
      </c>
      <c r="O96" s="448">
        <f>O113+O298+O303</f>
        <v>499884.80000000005</v>
      </c>
    </row>
    <row r="97" spans="1:15" s="430" customFormat="1" ht="12.75" hidden="1" customHeight="1" x14ac:dyDescent="0.2">
      <c r="A97" s="462" t="s">
        <v>72</v>
      </c>
      <c r="B97" s="250" t="s">
        <v>130</v>
      </c>
      <c r="C97" s="250" t="s">
        <v>190</v>
      </c>
      <c r="D97" s="250"/>
      <c r="E97" s="250"/>
      <c r="F97" s="250"/>
      <c r="G97" s="275" t="e">
        <v>#REF!</v>
      </c>
      <c r="H97" s="275">
        <v>0</v>
      </c>
      <c r="I97" s="275" t="e">
        <v>#REF!</v>
      </c>
      <c r="J97" s="275" t="e">
        <f t="shared" ref="J97" si="71">J98+J105</f>
        <v>#REF!</v>
      </c>
      <c r="K97" s="275" t="e">
        <f>L98+L105</f>
        <v>#REF!</v>
      </c>
      <c r="L97" s="275" t="e">
        <f t="shared" ref="L97" si="72">L98+L105</f>
        <v>#REF!</v>
      </c>
      <c r="M97" s="275" t="e">
        <f t="shared" ref="M97:N97" si="73">M98+M105</f>
        <v>#REF!</v>
      </c>
      <c r="N97" s="275" t="e">
        <f t="shared" si="73"/>
        <v>#REF!</v>
      </c>
      <c r="O97" s="275" t="e">
        <f t="shared" ref="O97" si="74">O98+O105</f>
        <v>#REF!</v>
      </c>
    </row>
    <row r="98" spans="1:15" ht="25.5" hidden="1" customHeight="1" x14ac:dyDescent="0.2">
      <c r="A98" s="462" t="s">
        <v>368</v>
      </c>
      <c r="B98" s="250" t="s">
        <v>130</v>
      </c>
      <c r="C98" s="250" t="s">
        <v>190</v>
      </c>
      <c r="D98" s="250" t="s">
        <v>205</v>
      </c>
      <c r="E98" s="250"/>
      <c r="F98" s="250"/>
      <c r="G98" s="257" t="e">
        <v>#REF!</v>
      </c>
      <c r="H98" s="257">
        <v>0</v>
      </c>
      <c r="I98" s="257" t="e">
        <v>#REF!</v>
      </c>
      <c r="J98" s="257" t="e">
        <f t="shared" ref="J98:O99" si="75">J99</f>
        <v>#REF!</v>
      </c>
      <c r="K98" s="257" t="e">
        <f>L99</f>
        <v>#REF!</v>
      </c>
      <c r="L98" s="257" t="e">
        <f t="shared" si="75"/>
        <v>#REF!</v>
      </c>
      <c r="M98" s="257" t="e">
        <f t="shared" si="75"/>
        <v>#REF!</v>
      </c>
      <c r="N98" s="257" t="e">
        <f t="shared" si="75"/>
        <v>#REF!</v>
      </c>
      <c r="O98" s="257" t="e">
        <f t="shared" si="75"/>
        <v>#REF!</v>
      </c>
    </row>
    <row r="99" spans="1:15" ht="12.75" hidden="1" customHeight="1" x14ac:dyDescent="0.2">
      <c r="A99" s="259" t="s">
        <v>324</v>
      </c>
      <c r="B99" s="252" t="s">
        <v>130</v>
      </c>
      <c r="C99" s="252" t="s">
        <v>190</v>
      </c>
      <c r="D99" s="252" t="s">
        <v>205</v>
      </c>
      <c r="E99" s="252" t="s">
        <v>325</v>
      </c>
      <c r="F99" s="252"/>
      <c r="G99" s="257" t="e">
        <v>#REF!</v>
      </c>
      <c r="H99" s="257">
        <v>0</v>
      </c>
      <c r="I99" s="257" t="e">
        <v>#REF!</v>
      </c>
      <c r="J99" s="257" t="e">
        <f t="shared" si="75"/>
        <v>#REF!</v>
      </c>
      <c r="K99" s="257" t="e">
        <f>L100</f>
        <v>#REF!</v>
      </c>
      <c r="L99" s="257" t="e">
        <f t="shared" si="75"/>
        <v>#REF!</v>
      </c>
      <c r="M99" s="257" t="e">
        <f t="shared" si="75"/>
        <v>#REF!</v>
      </c>
      <c r="N99" s="257" t="e">
        <f t="shared" si="75"/>
        <v>#REF!</v>
      </c>
      <c r="O99" s="257" t="e">
        <f t="shared" si="75"/>
        <v>#REF!</v>
      </c>
    </row>
    <row r="100" spans="1:15" ht="51" hidden="1" customHeight="1" x14ac:dyDescent="0.2">
      <c r="A100" s="259" t="s">
        <v>999</v>
      </c>
      <c r="B100" s="252" t="s">
        <v>130</v>
      </c>
      <c r="C100" s="252" t="s">
        <v>190</v>
      </c>
      <c r="D100" s="252" t="s">
        <v>205</v>
      </c>
      <c r="E100" s="252" t="s">
        <v>369</v>
      </c>
      <c r="F100" s="252"/>
      <c r="G100" s="257" t="e">
        <v>#REF!</v>
      </c>
      <c r="H100" s="257">
        <v>0</v>
      </c>
      <c r="I100" s="257" t="e">
        <v>#REF!</v>
      </c>
      <c r="J100" s="257" t="e">
        <f t="shared" ref="J100" si="76">J101+J103+J102</f>
        <v>#REF!</v>
      </c>
      <c r="K100" s="257" t="e">
        <f>L101+L103+L102</f>
        <v>#REF!</v>
      </c>
      <c r="L100" s="257" t="e">
        <f t="shared" ref="L100" si="77">L101+L103+L102</f>
        <v>#REF!</v>
      </c>
      <c r="M100" s="257" t="e">
        <f t="shared" ref="M100:N100" si="78">M101+M103+M102</f>
        <v>#REF!</v>
      </c>
      <c r="N100" s="257" t="e">
        <f t="shared" si="78"/>
        <v>#REF!</v>
      </c>
      <c r="O100" s="257" t="e">
        <f t="shared" ref="O100" si="79">O101+O103+O102</f>
        <v>#REF!</v>
      </c>
    </row>
    <row r="101" spans="1:15" ht="12.75" hidden="1" customHeight="1" x14ac:dyDescent="0.2">
      <c r="A101" s="259" t="s">
        <v>300</v>
      </c>
      <c r="B101" s="252" t="s">
        <v>130</v>
      </c>
      <c r="C101" s="252" t="s">
        <v>190</v>
      </c>
      <c r="D101" s="252" t="s">
        <v>205</v>
      </c>
      <c r="E101" s="252" t="s">
        <v>369</v>
      </c>
      <c r="F101" s="252" t="s">
        <v>301</v>
      </c>
      <c r="G101" s="257" t="e">
        <v>#REF!</v>
      </c>
      <c r="H101" s="257">
        <v>0</v>
      </c>
      <c r="I101" s="257" t="e">
        <v>#REF!</v>
      </c>
      <c r="J101" s="257" t="e">
        <f>#REF!+H101</f>
        <v>#REF!</v>
      </c>
      <c r="K101" s="257" t="e">
        <f>#REF!+I101</f>
        <v>#REF!</v>
      </c>
      <c r="L101" s="257" t="e">
        <f>F101+K101</f>
        <v>#REF!</v>
      </c>
      <c r="M101" s="257" t="e">
        <f>G101+L101</f>
        <v>#REF!</v>
      </c>
      <c r="N101" s="257" t="e">
        <f>H101+L101</f>
        <v>#REF!</v>
      </c>
      <c r="O101" s="257" t="e">
        <f t="shared" ref="O101:O102" si="80">I101+M101</f>
        <v>#REF!</v>
      </c>
    </row>
    <row r="102" spans="1:15" ht="12.75" hidden="1" customHeight="1" x14ac:dyDescent="0.2">
      <c r="A102" s="259" t="s">
        <v>302</v>
      </c>
      <c r="B102" s="252" t="s">
        <v>130</v>
      </c>
      <c r="C102" s="252" t="s">
        <v>190</v>
      </c>
      <c r="D102" s="252" t="s">
        <v>205</v>
      </c>
      <c r="E102" s="252" t="s">
        <v>369</v>
      </c>
      <c r="F102" s="252" t="s">
        <v>303</v>
      </c>
      <c r="G102" s="257" t="e">
        <v>#REF!</v>
      </c>
      <c r="H102" s="257">
        <v>0</v>
      </c>
      <c r="I102" s="257" t="e">
        <v>#REF!</v>
      </c>
      <c r="J102" s="257" t="e">
        <f>#REF!+H102</f>
        <v>#REF!</v>
      </c>
      <c r="K102" s="257" t="e">
        <f>#REF!+I102</f>
        <v>#REF!</v>
      </c>
      <c r="L102" s="257" t="e">
        <f>F102+K102</f>
        <v>#REF!</v>
      </c>
      <c r="M102" s="257" t="e">
        <f>G102+L102</f>
        <v>#REF!</v>
      </c>
      <c r="N102" s="257" t="e">
        <f>H102+L102</f>
        <v>#REF!</v>
      </c>
      <c r="O102" s="257" t="e">
        <f t="shared" si="80"/>
        <v>#REF!</v>
      </c>
    </row>
    <row r="103" spans="1:15" ht="25.5" hidden="1" customHeight="1" x14ac:dyDescent="0.2">
      <c r="A103" s="259" t="s">
        <v>147</v>
      </c>
      <c r="B103" s="252" t="s">
        <v>130</v>
      </c>
      <c r="C103" s="252" t="s">
        <v>190</v>
      </c>
      <c r="D103" s="252" t="s">
        <v>205</v>
      </c>
      <c r="E103" s="252" t="s">
        <v>370</v>
      </c>
      <c r="F103" s="252"/>
      <c r="G103" s="257" t="e">
        <v>#REF!</v>
      </c>
      <c r="H103" s="257">
        <v>0</v>
      </c>
      <c r="I103" s="257" t="e">
        <v>#REF!</v>
      </c>
      <c r="J103" s="257" t="e">
        <f t="shared" ref="J103:O103" si="81">J104</f>
        <v>#REF!</v>
      </c>
      <c r="K103" s="257" t="e">
        <f>L104</f>
        <v>#REF!</v>
      </c>
      <c r="L103" s="257" t="e">
        <f t="shared" si="81"/>
        <v>#REF!</v>
      </c>
      <c r="M103" s="257" t="e">
        <f t="shared" si="81"/>
        <v>#REF!</v>
      </c>
      <c r="N103" s="257" t="e">
        <f t="shared" si="81"/>
        <v>#REF!</v>
      </c>
      <c r="O103" s="257" t="e">
        <f t="shared" si="81"/>
        <v>#REF!</v>
      </c>
    </row>
    <row r="104" spans="1:15" ht="12.75" hidden="1" customHeight="1" x14ac:dyDescent="0.2">
      <c r="A104" s="259" t="s">
        <v>300</v>
      </c>
      <c r="B104" s="252" t="s">
        <v>130</v>
      </c>
      <c r="C104" s="252" t="s">
        <v>190</v>
      </c>
      <c r="D104" s="252" t="s">
        <v>205</v>
      </c>
      <c r="E104" s="252" t="s">
        <v>370</v>
      </c>
      <c r="F104" s="252" t="s">
        <v>301</v>
      </c>
      <c r="G104" s="257" t="e">
        <v>#REF!</v>
      </c>
      <c r="H104" s="257">
        <v>0</v>
      </c>
      <c r="I104" s="257" t="e">
        <v>#REF!</v>
      </c>
      <c r="J104" s="257" t="e">
        <f>#REF!+H104</f>
        <v>#REF!</v>
      </c>
      <c r="K104" s="257" t="e">
        <f>#REF!+I104</f>
        <v>#REF!</v>
      </c>
      <c r="L104" s="257" t="e">
        <f>F104+K104</f>
        <v>#REF!</v>
      </c>
      <c r="M104" s="257" t="e">
        <f>G104+L104</f>
        <v>#REF!</v>
      </c>
      <c r="N104" s="257" t="e">
        <f>H104+L104</f>
        <v>#REF!</v>
      </c>
      <c r="O104" s="257" t="e">
        <f t="shared" ref="O104" si="82">I104+M104</f>
        <v>#REF!</v>
      </c>
    </row>
    <row r="105" spans="1:15" ht="12.75" hidden="1" customHeight="1" x14ac:dyDescent="0.2">
      <c r="A105" s="462" t="s">
        <v>206</v>
      </c>
      <c r="B105" s="250" t="s">
        <v>130</v>
      </c>
      <c r="C105" s="250" t="s">
        <v>190</v>
      </c>
      <c r="D105" s="250" t="s">
        <v>207</v>
      </c>
      <c r="E105" s="252"/>
      <c r="F105" s="252"/>
      <c r="G105" s="257" t="e">
        <v>#REF!</v>
      </c>
      <c r="H105" s="257">
        <v>0</v>
      </c>
      <c r="I105" s="257" t="e">
        <v>#REF!</v>
      </c>
      <c r="J105" s="257" t="e">
        <f t="shared" ref="J105:O106" si="83">J106</f>
        <v>#REF!</v>
      </c>
      <c r="K105" s="257" t="e">
        <f>L106</f>
        <v>#REF!</v>
      </c>
      <c r="L105" s="257" t="e">
        <f t="shared" si="83"/>
        <v>#REF!</v>
      </c>
      <c r="M105" s="257" t="e">
        <f t="shared" si="83"/>
        <v>#REF!</v>
      </c>
      <c r="N105" s="257" t="e">
        <f t="shared" si="83"/>
        <v>#REF!</v>
      </c>
      <c r="O105" s="257" t="e">
        <f t="shared" si="83"/>
        <v>#REF!</v>
      </c>
    </row>
    <row r="106" spans="1:15" ht="25.5" hidden="1" customHeight="1" x14ac:dyDescent="0.2">
      <c r="A106" s="266" t="s">
        <v>371</v>
      </c>
      <c r="B106" s="252" t="s">
        <v>130</v>
      </c>
      <c r="C106" s="252" t="s">
        <v>190</v>
      </c>
      <c r="D106" s="252" t="s">
        <v>207</v>
      </c>
      <c r="E106" s="252" t="s">
        <v>372</v>
      </c>
      <c r="F106" s="252"/>
      <c r="G106" s="257" t="e">
        <v>#REF!</v>
      </c>
      <c r="H106" s="257">
        <v>0</v>
      </c>
      <c r="I106" s="257" t="e">
        <v>#REF!</v>
      </c>
      <c r="J106" s="257" t="e">
        <f t="shared" si="83"/>
        <v>#REF!</v>
      </c>
      <c r="K106" s="257" t="e">
        <f>L107</f>
        <v>#REF!</v>
      </c>
      <c r="L106" s="257" t="e">
        <f t="shared" si="83"/>
        <v>#REF!</v>
      </c>
      <c r="M106" s="257" t="e">
        <f t="shared" si="83"/>
        <v>#REF!</v>
      </c>
      <c r="N106" s="257" t="e">
        <f t="shared" si="83"/>
        <v>#REF!</v>
      </c>
      <c r="O106" s="257" t="e">
        <f t="shared" si="83"/>
        <v>#REF!</v>
      </c>
    </row>
    <row r="107" spans="1:15" ht="12.75" hidden="1" customHeight="1" x14ac:dyDescent="0.2">
      <c r="A107" s="259" t="s">
        <v>320</v>
      </c>
      <c r="B107" s="252" t="s">
        <v>130</v>
      </c>
      <c r="C107" s="252" t="s">
        <v>190</v>
      </c>
      <c r="D107" s="252" t="s">
        <v>207</v>
      </c>
      <c r="E107" s="252" t="s">
        <v>372</v>
      </c>
      <c r="F107" s="252" t="s">
        <v>321</v>
      </c>
      <c r="G107" s="257" t="e">
        <v>#REF!</v>
      </c>
      <c r="H107" s="257">
        <v>0</v>
      </c>
      <c r="I107" s="257" t="e">
        <v>#REF!</v>
      </c>
      <c r="J107" s="257" t="e">
        <f>#REF!+H107</f>
        <v>#REF!</v>
      </c>
      <c r="K107" s="257" t="e">
        <f>#REF!+I107</f>
        <v>#REF!</v>
      </c>
      <c r="L107" s="257" t="e">
        <f>F107+K107</f>
        <v>#REF!</v>
      </c>
      <c r="M107" s="257" t="e">
        <f>G107+L107</f>
        <v>#REF!</v>
      </c>
      <c r="N107" s="257" t="e">
        <f>H107+L107</f>
        <v>#REF!</v>
      </c>
      <c r="O107" s="257" t="e">
        <f t="shared" ref="O107" si="84">I107+M107</f>
        <v>#REF!</v>
      </c>
    </row>
    <row r="108" spans="1:15" s="430" customFormat="1" ht="12.75" hidden="1" customHeight="1" x14ac:dyDescent="0.2">
      <c r="A108" s="462" t="s">
        <v>72</v>
      </c>
      <c r="B108" s="250" t="s">
        <v>130</v>
      </c>
      <c r="C108" s="250" t="s">
        <v>190</v>
      </c>
      <c r="D108" s="250"/>
      <c r="E108" s="249"/>
      <c r="F108" s="249"/>
      <c r="G108" s="275" t="e">
        <v>#REF!</v>
      </c>
      <c r="H108" s="275">
        <v>0</v>
      </c>
      <c r="I108" s="275" t="e">
        <v>#REF!</v>
      </c>
      <c r="J108" s="275" t="e">
        <f t="shared" ref="J108:N111" si="85">J109</f>
        <v>#REF!</v>
      </c>
      <c r="K108" s="275" t="e">
        <f>L109</f>
        <v>#REF!</v>
      </c>
      <c r="L108" s="275" t="e">
        <f t="shared" si="85"/>
        <v>#REF!</v>
      </c>
      <c r="M108" s="275" t="e">
        <f t="shared" si="85"/>
        <v>#REF!</v>
      </c>
      <c r="N108" s="275" t="e">
        <f t="shared" si="85"/>
        <v>#REF!</v>
      </c>
      <c r="O108" s="275" t="e">
        <f t="shared" ref="L108:O111" si="86">O109</f>
        <v>#REF!</v>
      </c>
    </row>
    <row r="109" spans="1:15" ht="12.75" hidden="1" customHeight="1" x14ac:dyDescent="0.2">
      <c r="A109" s="462" t="s">
        <v>206</v>
      </c>
      <c r="B109" s="250" t="s">
        <v>130</v>
      </c>
      <c r="C109" s="250" t="s">
        <v>190</v>
      </c>
      <c r="D109" s="250" t="s">
        <v>207</v>
      </c>
      <c r="E109" s="249"/>
      <c r="F109" s="249"/>
      <c r="G109" s="257" t="e">
        <v>#REF!</v>
      </c>
      <c r="H109" s="257">
        <v>0</v>
      </c>
      <c r="I109" s="257" t="e">
        <v>#REF!</v>
      </c>
      <c r="J109" s="257" t="e">
        <f t="shared" si="85"/>
        <v>#REF!</v>
      </c>
      <c r="K109" s="257" t="e">
        <f>L110</f>
        <v>#REF!</v>
      </c>
      <c r="L109" s="257" t="e">
        <f t="shared" si="86"/>
        <v>#REF!</v>
      </c>
      <c r="M109" s="257" t="e">
        <f t="shared" si="86"/>
        <v>#REF!</v>
      </c>
      <c r="N109" s="257" t="e">
        <f t="shared" si="86"/>
        <v>#REF!</v>
      </c>
      <c r="O109" s="257" t="e">
        <f t="shared" si="86"/>
        <v>#REF!</v>
      </c>
    </row>
    <row r="110" spans="1:15" ht="12.75" hidden="1" customHeight="1" x14ac:dyDescent="0.2">
      <c r="A110" s="259" t="s">
        <v>61</v>
      </c>
      <c r="B110" s="252" t="s">
        <v>130</v>
      </c>
      <c r="C110" s="252" t="s">
        <v>190</v>
      </c>
      <c r="D110" s="252" t="s">
        <v>207</v>
      </c>
      <c r="E110" s="251" t="s">
        <v>62</v>
      </c>
      <c r="F110" s="252"/>
      <c r="G110" s="257" t="e">
        <v>#REF!</v>
      </c>
      <c r="H110" s="257">
        <v>0</v>
      </c>
      <c r="I110" s="257" t="e">
        <v>#REF!</v>
      </c>
      <c r="J110" s="257" t="e">
        <f t="shared" si="85"/>
        <v>#REF!</v>
      </c>
      <c r="K110" s="257" t="e">
        <f>L111</f>
        <v>#REF!</v>
      </c>
      <c r="L110" s="257" t="e">
        <f t="shared" si="86"/>
        <v>#REF!</v>
      </c>
      <c r="M110" s="257" t="e">
        <f t="shared" si="86"/>
        <v>#REF!</v>
      </c>
      <c r="N110" s="257" t="e">
        <f t="shared" si="86"/>
        <v>#REF!</v>
      </c>
      <c r="O110" s="257" t="e">
        <f t="shared" si="86"/>
        <v>#REF!</v>
      </c>
    </row>
    <row r="111" spans="1:15" ht="25.5" hidden="1" customHeight="1" x14ac:dyDescent="0.2">
      <c r="A111" s="259" t="s">
        <v>135</v>
      </c>
      <c r="B111" s="252" t="s">
        <v>130</v>
      </c>
      <c r="C111" s="252" t="s">
        <v>190</v>
      </c>
      <c r="D111" s="252" t="s">
        <v>207</v>
      </c>
      <c r="E111" s="251" t="s">
        <v>134</v>
      </c>
      <c r="F111" s="252"/>
      <c r="G111" s="257" t="e">
        <v>#REF!</v>
      </c>
      <c r="H111" s="257">
        <v>0</v>
      </c>
      <c r="I111" s="257" t="e">
        <v>#REF!</v>
      </c>
      <c r="J111" s="257" t="e">
        <f t="shared" si="85"/>
        <v>#REF!</v>
      </c>
      <c r="K111" s="257" t="e">
        <f>L112</f>
        <v>#REF!</v>
      </c>
      <c r="L111" s="257" t="e">
        <f t="shared" si="86"/>
        <v>#REF!</v>
      </c>
      <c r="M111" s="257" t="e">
        <f t="shared" si="86"/>
        <v>#REF!</v>
      </c>
      <c r="N111" s="257" t="e">
        <f t="shared" si="86"/>
        <v>#REF!</v>
      </c>
      <c r="O111" s="257" t="e">
        <f t="shared" si="86"/>
        <v>#REF!</v>
      </c>
    </row>
    <row r="112" spans="1:15" ht="38.25" hidden="1" customHeight="1" x14ac:dyDescent="0.2">
      <c r="A112" s="259" t="s">
        <v>76</v>
      </c>
      <c r="B112" s="252" t="s">
        <v>130</v>
      </c>
      <c r="C112" s="252" t="s">
        <v>190</v>
      </c>
      <c r="D112" s="252" t="s">
        <v>207</v>
      </c>
      <c r="E112" s="251" t="s">
        <v>134</v>
      </c>
      <c r="F112" s="252" t="s">
        <v>77</v>
      </c>
      <c r="G112" s="257" t="e">
        <v>#REF!</v>
      </c>
      <c r="H112" s="257">
        <v>0</v>
      </c>
      <c r="I112" s="257" t="e">
        <v>#REF!</v>
      </c>
      <c r="J112" s="257" t="e">
        <f>#REF!+H112</f>
        <v>#REF!</v>
      </c>
      <c r="K112" s="257" t="e">
        <f>#REF!+I112</f>
        <v>#REF!</v>
      </c>
      <c r="L112" s="257" t="e">
        <f>F112+K112</f>
        <v>#REF!</v>
      </c>
      <c r="M112" s="257" t="e">
        <f>G112+L112</f>
        <v>#REF!</v>
      </c>
      <c r="N112" s="257" t="e">
        <f>H112+L112</f>
        <v>#REF!</v>
      </c>
      <c r="O112" s="257" t="e">
        <f t="shared" ref="O112" si="87">I112+M112</f>
        <v>#REF!</v>
      </c>
    </row>
    <row r="113" spans="1:15" s="430" customFormat="1" ht="14.25" x14ac:dyDescent="0.2">
      <c r="A113" s="462" t="s">
        <v>298</v>
      </c>
      <c r="B113" s="250" t="s">
        <v>130</v>
      </c>
      <c r="C113" s="250" t="s">
        <v>202</v>
      </c>
      <c r="D113" s="250"/>
      <c r="E113" s="250"/>
      <c r="F113" s="250"/>
      <c r="G113" s="275">
        <v>382729.15</v>
      </c>
      <c r="H113" s="275">
        <v>126347.83</v>
      </c>
      <c r="I113" s="275">
        <v>222704.34000000005</v>
      </c>
      <c r="J113" s="275" t="e">
        <f>J114+J144+J211+J235+J245</f>
        <v>#REF!</v>
      </c>
      <c r="K113" s="275">
        <f>L114+L144+L211+L235+L245</f>
        <v>476951.41000000003</v>
      </c>
      <c r="L113" s="275">
        <f>L114+L144+L211+L235+L245</f>
        <v>476951.41000000003</v>
      </c>
      <c r="M113" s="275">
        <f>M114+M144+M211+M235+M245</f>
        <v>-33341.227256000071</v>
      </c>
      <c r="N113" s="275">
        <f>N114+N144+N211+N235+N245</f>
        <v>443610.18274399987</v>
      </c>
      <c r="O113" s="275">
        <f>O114+O144+O211+O235+O245</f>
        <v>479035.9</v>
      </c>
    </row>
    <row r="114" spans="1:15" s="430" customFormat="1" ht="13.5" customHeight="1" x14ac:dyDescent="0.2">
      <c r="A114" s="268" t="s">
        <v>227</v>
      </c>
      <c r="B114" s="250" t="s">
        <v>130</v>
      </c>
      <c r="C114" s="250" t="s">
        <v>202</v>
      </c>
      <c r="D114" s="250" t="s">
        <v>190</v>
      </c>
      <c r="E114" s="250"/>
      <c r="F114" s="250"/>
      <c r="G114" s="275">
        <v>57021.37</v>
      </c>
      <c r="H114" s="275">
        <v>26750.440000000002</v>
      </c>
      <c r="I114" s="275">
        <v>3791.98</v>
      </c>
      <c r="J114" s="275" t="e">
        <f t="shared" ref="J114:O114" si="88">J115</f>
        <v>#REF!</v>
      </c>
      <c r="K114" s="275">
        <f>L115</f>
        <v>93233.882743999857</v>
      </c>
      <c r="L114" s="275">
        <f t="shared" si="88"/>
        <v>93233.882743999857</v>
      </c>
      <c r="M114" s="275">
        <f t="shared" si="88"/>
        <v>1273.1099999999888</v>
      </c>
      <c r="N114" s="275">
        <f t="shared" si="88"/>
        <v>94506.992743999843</v>
      </c>
      <c r="O114" s="275">
        <f t="shared" si="88"/>
        <v>103154.47</v>
      </c>
    </row>
    <row r="115" spans="1:15" s="430" customFormat="1" ht="37.5" customHeight="1" x14ac:dyDescent="0.2">
      <c r="A115" s="259" t="s">
        <v>1005</v>
      </c>
      <c r="B115" s="252" t="s">
        <v>130</v>
      </c>
      <c r="C115" s="252" t="s">
        <v>202</v>
      </c>
      <c r="D115" s="252" t="s">
        <v>190</v>
      </c>
      <c r="E115" s="252" t="s">
        <v>749</v>
      </c>
      <c r="F115" s="252"/>
      <c r="G115" s="275">
        <v>57021.37</v>
      </c>
      <c r="H115" s="275">
        <v>26750.440000000002</v>
      </c>
      <c r="I115" s="275">
        <v>3791.98</v>
      </c>
      <c r="J115" s="275" t="e">
        <f>#REF!</f>
        <v>#REF!</v>
      </c>
      <c r="K115" s="275" t="e">
        <f>#REF!</f>
        <v>#REF!</v>
      </c>
      <c r="L115" s="275">
        <f>L116+L117+L118+L119+L120+L121+L122+L123+L124+L125+L128+L133+L134+L136+L138+L139+L140</f>
        <v>93233.882743999857</v>
      </c>
      <c r="M115" s="275">
        <f t="shared" ref="M115:O115" si="89">M116+M117+M118+M119+M120+M121+M122+M123+M124+M125+M128+M133+M134+M136+M138+M139+M140</f>
        <v>1273.1099999999888</v>
      </c>
      <c r="N115" s="275">
        <f t="shared" si="89"/>
        <v>94506.992743999843</v>
      </c>
      <c r="O115" s="275">
        <f t="shared" si="89"/>
        <v>103154.47</v>
      </c>
    </row>
    <row r="116" spans="1:15" s="430" customFormat="1" ht="14.25" customHeight="1" x14ac:dyDescent="0.2">
      <c r="A116" s="375" t="s">
        <v>897</v>
      </c>
      <c r="B116" s="252" t="s">
        <v>130</v>
      </c>
      <c r="C116" s="252" t="s">
        <v>202</v>
      </c>
      <c r="D116" s="252" t="s">
        <v>190</v>
      </c>
      <c r="E116" s="251" t="s">
        <v>749</v>
      </c>
      <c r="F116" s="252" t="s">
        <v>832</v>
      </c>
      <c r="G116" s="275"/>
      <c r="H116" s="275"/>
      <c r="I116" s="275"/>
      <c r="J116" s="275"/>
      <c r="K116" s="275"/>
      <c r="L116" s="257">
        <v>0</v>
      </c>
      <c r="M116" s="257">
        <v>21010</v>
      </c>
      <c r="N116" s="257">
        <f t="shared" ref="N116:N124" si="90">L116+M116</f>
        <v>21010</v>
      </c>
      <c r="O116" s="257">
        <v>19500</v>
      </c>
    </row>
    <row r="117" spans="1:15" s="430" customFormat="1" ht="37.5" customHeight="1" x14ac:dyDescent="0.2">
      <c r="A117" s="273" t="s">
        <v>900</v>
      </c>
      <c r="B117" s="252" t="s">
        <v>130</v>
      </c>
      <c r="C117" s="252" t="s">
        <v>202</v>
      </c>
      <c r="D117" s="252" t="s">
        <v>190</v>
      </c>
      <c r="E117" s="251" t="s">
        <v>749</v>
      </c>
      <c r="F117" s="252" t="s">
        <v>899</v>
      </c>
      <c r="G117" s="275"/>
      <c r="H117" s="275"/>
      <c r="I117" s="275"/>
      <c r="J117" s="275"/>
      <c r="K117" s="275"/>
      <c r="L117" s="257">
        <v>0</v>
      </c>
      <c r="M117" s="257">
        <v>6345</v>
      </c>
      <c r="N117" s="257">
        <f t="shared" si="90"/>
        <v>6345</v>
      </c>
      <c r="O117" s="257">
        <v>5880</v>
      </c>
    </row>
    <row r="118" spans="1:15" s="430" customFormat="1" ht="15" hidden="1" customHeight="1" x14ac:dyDescent="0.2">
      <c r="A118" s="375" t="s">
        <v>897</v>
      </c>
      <c r="B118" s="252" t="s">
        <v>130</v>
      </c>
      <c r="C118" s="252" t="s">
        <v>202</v>
      </c>
      <c r="D118" s="252" t="s">
        <v>190</v>
      </c>
      <c r="E118" s="251" t="s">
        <v>1253</v>
      </c>
      <c r="F118" s="252" t="s">
        <v>832</v>
      </c>
      <c r="G118" s="275"/>
      <c r="H118" s="275"/>
      <c r="I118" s="275"/>
      <c r="J118" s="275"/>
      <c r="K118" s="275"/>
      <c r="L118" s="257">
        <v>0</v>
      </c>
      <c r="M118" s="257">
        <v>0</v>
      </c>
      <c r="N118" s="257">
        <f t="shared" si="90"/>
        <v>0</v>
      </c>
      <c r="O118" s="257">
        <v>0</v>
      </c>
    </row>
    <row r="119" spans="1:15" s="430" customFormat="1" ht="37.5" hidden="1" customHeight="1" x14ac:dyDescent="0.2">
      <c r="A119" s="273" t="s">
        <v>900</v>
      </c>
      <c r="B119" s="252" t="s">
        <v>130</v>
      </c>
      <c r="C119" s="252" t="s">
        <v>202</v>
      </c>
      <c r="D119" s="252" t="s">
        <v>190</v>
      </c>
      <c r="E119" s="251" t="s">
        <v>1253</v>
      </c>
      <c r="F119" s="252" t="s">
        <v>899</v>
      </c>
      <c r="G119" s="275"/>
      <c r="H119" s="275"/>
      <c r="I119" s="275"/>
      <c r="J119" s="275"/>
      <c r="K119" s="275"/>
      <c r="L119" s="257">
        <v>0</v>
      </c>
      <c r="M119" s="257">
        <v>0</v>
      </c>
      <c r="N119" s="257">
        <f t="shared" si="90"/>
        <v>0</v>
      </c>
      <c r="O119" s="257">
        <v>0</v>
      </c>
    </row>
    <row r="120" spans="1:15" s="430" customFormat="1" ht="16.5" customHeight="1" x14ac:dyDescent="0.2">
      <c r="A120" s="259" t="s">
        <v>952</v>
      </c>
      <c r="B120" s="252" t="s">
        <v>130</v>
      </c>
      <c r="C120" s="252" t="s">
        <v>202</v>
      </c>
      <c r="D120" s="252" t="s">
        <v>190</v>
      </c>
      <c r="E120" s="252" t="s">
        <v>749</v>
      </c>
      <c r="F120" s="252" t="s">
        <v>919</v>
      </c>
      <c r="G120" s="275"/>
      <c r="H120" s="275"/>
      <c r="I120" s="275"/>
      <c r="J120" s="275"/>
      <c r="K120" s="275"/>
      <c r="L120" s="257">
        <v>0</v>
      </c>
      <c r="M120" s="257">
        <v>50</v>
      </c>
      <c r="N120" s="257">
        <f t="shared" si="90"/>
        <v>50</v>
      </c>
      <c r="O120" s="257">
        <v>50</v>
      </c>
    </row>
    <row r="121" spans="1:15" s="430" customFormat="1" ht="16.5" customHeight="1" x14ac:dyDescent="0.2">
      <c r="A121" s="259" t="s">
        <v>93</v>
      </c>
      <c r="B121" s="252" t="s">
        <v>130</v>
      </c>
      <c r="C121" s="252" t="s">
        <v>202</v>
      </c>
      <c r="D121" s="252" t="s">
        <v>190</v>
      </c>
      <c r="E121" s="252" t="s">
        <v>749</v>
      </c>
      <c r="F121" s="252" t="s">
        <v>94</v>
      </c>
      <c r="G121" s="275"/>
      <c r="H121" s="275"/>
      <c r="I121" s="275"/>
      <c r="J121" s="275"/>
      <c r="K121" s="275"/>
      <c r="L121" s="257">
        <v>0</v>
      </c>
      <c r="M121" s="257">
        <v>700</v>
      </c>
      <c r="N121" s="257">
        <f t="shared" si="90"/>
        <v>700</v>
      </c>
      <c r="O121" s="257">
        <v>700</v>
      </c>
    </row>
    <row r="122" spans="1:15" s="430" customFormat="1" ht="16.5" customHeight="1" x14ac:dyDescent="0.2">
      <c r="A122" s="259" t="s">
        <v>1167</v>
      </c>
      <c r="B122" s="252" t="s">
        <v>130</v>
      </c>
      <c r="C122" s="252" t="s">
        <v>202</v>
      </c>
      <c r="D122" s="252" t="s">
        <v>190</v>
      </c>
      <c r="E122" s="252" t="s">
        <v>749</v>
      </c>
      <c r="F122" s="252" t="s">
        <v>1166</v>
      </c>
      <c r="G122" s="275"/>
      <c r="H122" s="275"/>
      <c r="I122" s="275"/>
      <c r="J122" s="275"/>
      <c r="K122" s="275"/>
      <c r="L122" s="257">
        <v>0</v>
      </c>
      <c r="M122" s="257">
        <v>300</v>
      </c>
      <c r="N122" s="257">
        <f t="shared" si="90"/>
        <v>300</v>
      </c>
      <c r="O122" s="257">
        <v>300</v>
      </c>
    </row>
    <row r="123" spans="1:15" s="430" customFormat="1" ht="17.25" customHeight="1" x14ac:dyDescent="0.2">
      <c r="A123" s="259" t="s">
        <v>103</v>
      </c>
      <c r="B123" s="252" t="s">
        <v>130</v>
      </c>
      <c r="C123" s="252" t="s">
        <v>202</v>
      </c>
      <c r="D123" s="252" t="s">
        <v>190</v>
      </c>
      <c r="E123" s="252" t="s">
        <v>749</v>
      </c>
      <c r="F123" s="252" t="s">
        <v>104</v>
      </c>
      <c r="G123" s="275"/>
      <c r="H123" s="275"/>
      <c r="I123" s="275"/>
      <c r="J123" s="275"/>
      <c r="K123" s="275"/>
      <c r="L123" s="257">
        <v>0</v>
      </c>
      <c r="M123" s="257">
        <v>300</v>
      </c>
      <c r="N123" s="257">
        <f t="shared" si="90"/>
        <v>300</v>
      </c>
      <c r="O123" s="257">
        <v>300</v>
      </c>
    </row>
    <row r="124" spans="1:15" s="430" customFormat="1" ht="17.25" customHeight="1" x14ac:dyDescent="0.2">
      <c r="A124" s="259" t="s">
        <v>400</v>
      </c>
      <c r="B124" s="252" t="s">
        <v>130</v>
      </c>
      <c r="C124" s="252" t="s">
        <v>202</v>
      </c>
      <c r="D124" s="252" t="s">
        <v>190</v>
      </c>
      <c r="E124" s="252" t="s">
        <v>749</v>
      </c>
      <c r="F124" s="252" t="s">
        <v>106</v>
      </c>
      <c r="G124" s="275"/>
      <c r="H124" s="275"/>
      <c r="I124" s="275"/>
      <c r="J124" s="275"/>
      <c r="K124" s="275"/>
      <c r="L124" s="257">
        <v>0</v>
      </c>
      <c r="M124" s="257">
        <v>10</v>
      </c>
      <c r="N124" s="257">
        <f t="shared" si="90"/>
        <v>10</v>
      </c>
      <c r="O124" s="257">
        <v>10</v>
      </c>
    </row>
    <row r="125" spans="1:15" s="430" customFormat="1" ht="88.5" customHeight="1" x14ac:dyDescent="0.2">
      <c r="A125" s="259" t="s">
        <v>942</v>
      </c>
      <c r="B125" s="252" t="s">
        <v>130</v>
      </c>
      <c r="C125" s="252" t="s">
        <v>202</v>
      </c>
      <c r="D125" s="252" t="s">
        <v>190</v>
      </c>
      <c r="E125" s="251" t="s">
        <v>1263</v>
      </c>
      <c r="F125" s="252"/>
      <c r="G125" s="275"/>
      <c r="H125" s="275"/>
      <c r="I125" s="275"/>
      <c r="J125" s="275"/>
      <c r="K125" s="275"/>
      <c r="L125" s="257">
        <f>L126+L127</f>
        <v>0</v>
      </c>
      <c r="M125" s="257">
        <f t="shared" ref="M125:O125" si="91">M126+M127</f>
        <v>65554.62</v>
      </c>
      <c r="N125" s="257">
        <f t="shared" si="91"/>
        <v>65554.62</v>
      </c>
      <c r="O125" s="257">
        <f t="shared" si="91"/>
        <v>76177.100000000006</v>
      </c>
    </row>
    <row r="126" spans="1:15" s="430" customFormat="1" ht="18" customHeight="1" x14ac:dyDescent="0.2">
      <c r="A126" s="375" t="s">
        <v>897</v>
      </c>
      <c r="B126" s="252" t="s">
        <v>130</v>
      </c>
      <c r="C126" s="252" t="s">
        <v>202</v>
      </c>
      <c r="D126" s="252" t="s">
        <v>190</v>
      </c>
      <c r="E126" s="251" t="s">
        <v>1263</v>
      </c>
      <c r="F126" s="252" t="s">
        <v>832</v>
      </c>
      <c r="G126" s="275"/>
      <c r="H126" s="275"/>
      <c r="I126" s="275"/>
      <c r="J126" s="275"/>
      <c r="K126" s="275"/>
      <c r="L126" s="257">
        <v>0</v>
      </c>
      <c r="M126" s="257">
        <v>50349</v>
      </c>
      <c r="N126" s="257">
        <f t="shared" ref="N126:N127" si="92">L126+M126</f>
        <v>50349</v>
      </c>
      <c r="O126" s="257">
        <v>58507</v>
      </c>
    </row>
    <row r="127" spans="1:15" s="430" customFormat="1" ht="37.5" customHeight="1" x14ac:dyDescent="0.2">
      <c r="A127" s="273" t="s">
        <v>900</v>
      </c>
      <c r="B127" s="252" t="s">
        <v>130</v>
      </c>
      <c r="C127" s="252" t="s">
        <v>202</v>
      </c>
      <c r="D127" s="252" t="s">
        <v>190</v>
      </c>
      <c r="E127" s="251" t="s">
        <v>1263</v>
      </c>
      <c r="F127" s="252" t="s">
        <v>899</v>
      </c>
      <c r="G127" s="275"/>
      <c r="H127" s="275"/>
      <c r="I127" s="275"/>
      <c r="J127" s="275"/>
      <c r="K127" s="275"/>
      <c r="L127" s="257">
        <v>0</v>
      </c>
      <c r="M127" s="257">
        <v>15205.62</v>
      </c>
      <c r="N127" s="257">
        <f t="shared" si="92"/>
        <v>15205.62</v>
      </c>
      <c r="O127" s="257">
        <v>17670.099999999999</v>
      </c>
    </row>
    <row r="128" spans="1:15" s="430" customFormat="1" ht="37.5" customHeight="1" x14ac:dyDescent="0.2">
      <c r="A128" s="259" t="s">
        <v>1242</v>
      </c>
      <c r="B128" s="252" t="s">
        <v>130</v>
      </c>
      <c r="C128" s="252" t="s">
        <v>202</v>
      </c>
      <c r="D128" s="252" t="s">
        <v>190</v>
      </c>
      <c r="E128" s="251" t="s">
        <v>1302</v>
      </c>
      <c r="F128" s="252"/>
      <c r="G128" s="275"/>
      <c r="H128" s="275"/>
      <c r="I128" s="275"/>
      <c r="J128" s="275"/>
      <c r="K128" s="275"/>
      <c r="L128" s="257">
        <f>L129+L130+L131+L132</f>
        <v>0</v>
      </c>
      <c r="M128" s="257">
        <f t="shared" ref="M128:O128" si="93">M129+M131+M130+M132</f>
        <v>237.37</v>
      </c>
      <c r="N128" s="257">
        <f t="shared" si="93"/>
        <v>237.37</v>
      </c>
      <c r="O128" s="257">
        <f t="shared" si="93"/>
        <v>237.37</v>
      </c>
    </row>
    <row r="129" spans="1:15" s="430" customFormat="1" ht="19.5" customHeight="1" x14ac:dyDescent="0.2">
      <c r="A129" s="259" t="s">
        <v>897</v>
      </c>
      <c r="B129" s="252" t="s">
        <v>130</v>
      </c>
      <c r="C129" s="252" t="s">
        <v>202</v>
      </c>
      <c r="D129" s="252" t="s">
        <v>190</v>
      </c>
      <c r="E129" s="251" t="s">
        <v>1302</v>
      </c>
      <c r="F129" s="252" t="s">
        <v>832</v>
      </c>
      <c r="G129" s="275"/>
      <c r="H129" s="275"/>
      <c r="I129" s="275"/>
      <c r="J129" s="275"/>
      <c r="K129" s="275"/>
      <c r="L129" s="257">
        <f t="shared" ref="L129:L132" si="94">J129+K129</f>
        <v>0</v>
      </c>
      <c r="M129" s="257">
        <v>235</v>
      </c>
      <c r="N129" s="257">
        <f t="shared" ref="N129:N134" si="95">L129+M129</f>
        <v>235</v>
      </c>
      <c r="O129" s="257">
        <v>235</v>
      </c>
    </row>
    <row r="130" spans="1:15" s="430" customFormat="1" ht="19.5" customHeight="1" x14ac:dyDescent="0.2">
      <c r="A130" s="259" t="s">
        <v>897</v>
      </c>
      <c r="B130" s="252" t="s">
        <v>130</v>
      </c>
      <c r="C130" s="252" t="s">
        <v>202</v>
      </c>
      <c r="D130" s="252" t="s">
        <v>190</v>
      </c>
      <c r="E130" s="251" t="s">
        <v>1302</v>
      </c>
      <c r="F130" s="252" t="s">
        <v>832</v>
      </c>
      <c r="G130" s="275"/>
      <c r="H130" s="275"/>
      <c r="I130" s="275"/>
      <c r="J130" s="275"/>
      <c r="K130" s="275"/>
      <c r="L130" s="257">
        <f t="shared" si="94"/>
        <v>0</v>
      </c>
      <c r="M130" s="257">
        <v>2.37</v>
      </c>
      <c r="N130" s="257">
        <f t="shared" si="95"/>
        <v>2.37</v>
      </c>
      <c r="O130" s="257">
        <v>2.37</v>
      </c>
    </row>
    <row r="131" spans="1:15" s="430" customFormat="1" ht="37.5" hidden="1" customHeight="1" x14ac:dyDescent="0.2">
      <c r="A131" s="259" t="s">
        <v>900</v>
      </c>
      <c r="B131" s="252" t="s">
        <v>130</v>
      </c>
      <c r="C131" s="252" t="s">
        <v>202</v>
      </c>
      <c r="D131" s="252" t="s">
        <v>190</v>
      </c>
      <c r="E131" s="251" t="s">
        <v>1302</v>
      </c>
      <c r="F131" s="252" t="s">
        <v>899</v>
      </c>
      <c r="G131" s="275"/>
      <c r="H131" s="275"/>
      <c r="I131" s="275"/>
      <c r="J131" s="275"/>
      <c r="K131" s="275"/>
      <c r="L131" s="257">
        <f t="shared" si="94"/>
        <v>0</v>
      </c>
      <c r="M131" s="257">
        <v>0</v>
      </c>
      <c r="N131" s="257">
        <f t="shared" si="95"/>
        <v>0</v>
      </c>
      <c r="O131" s="257">
        <v>0</v>
      </c>
    </row>
    <row r="132" spans="1:15" s="430" customFormat="1" ht="37.5" hidden="1" customHeight="1" x14ac:dyDescent="0.2">
      <c r="A132" s="259" t="s">
        <v>900</v>
      </c>
      <c r="B132" s="252" t="s">
        <v>130</v>
      </c>
      <c r="C132" s="252" t="s">
        <v>202</v>
      </c>
      <c r="D132" s="252" t="s">
        <v>190</v>
      </c>
      <c r="E132" s="251" t="s">
        <v>1302</v>
      </c>
      <c r="F132" s="252" t="s">
        <v>899</v>
      </c>
      <c r="G132" s="275"/>
      <c r="H132" s="275"/>
      <c r="I132" s="275"/>
      <c r="J132" s="275"/>
      <c r="K132" s="275"/>
      <c r="L132" s="257">
        <f t="shared" si="94"/>
        <v>0</v>
      </c>
      <c r="M132" s="257">
        <v>0</v>
      </c>
      <c r="N132" s="257">
        <f t="shared" si="95"/>
        <v>0</v>
      </c>
      <c r="O132" s="257">
        <v>0</v>
      </c>
    </row>
    <row r="133" spans="1:15" s="430" customFormat="1" ht="16.5" hidden="1" customHeight="1" x14ac:dyDescent="0.2">
      <c r="A133" s="259" t="s">
        <v>1063</v>
      </c>
      <c r="B133" s="252" t="s">
        <v>130</v>
      </c>
      <c r="C133" s="252" t="s">
        <v>202</v>
      </c>
      <c r="D133" s="252" t="s">
        <v>190</v>
      </c>
      <c r="E133" s="251" t="s">
        <v>864</v>
      </c>
      <c r="F133" s="252" t="s">
        <v>94</v>
      </c>
      <c r="G133" s="275"/>
      <c r="H133" s="275"/>
      <c r="I133" s="275"/>
      <c r="J133" s="275"/>
      <c r="K133" s="275"/>
      <c r="L133" s="257">
        <v>0</v>
      </c>
      <c r="M133" s="257">
        <v>0</v>
      </c>
      <c r="N133" s="257">
        <f t="shared" si="95"/>
        <v>0</v>
      </c>
      <c r="O133" s="257">
        <v>0</v>
      </c>
    </row>
    <row r="134" spans="1:15" s="430" customFormat="1" ht="16.5" hidden="1" customHeight="1" x14ac:dyDescent="0.2">
      <c r="A134" s="259" t="s">
        <v>1303</v>
      </c>
      <c r="B134" s="252" t="s">
        <v>130</v>
      </c>
      <c r="C134" s="252" t="s">
        <v>202</v>
      </c>
      <c r="D134" s="252" t="s">
        <v>190</v>
      </c>
      <c r="E134" s="251" t="s">
        <v>1304</v>
      </c>
      <c r="F134" s="252" t="s">
        <v>94</v>
      </c>
      <c r="G134" s="275"/>
      <c r="H134" s="275"/>
      <c r="I134" s="275"/>
      <c r="J134" s="275"/>
      <c r="K134" s="275"/>
      <c r="L134" s="257">
        <v>0</v>
      </c>
      <c r="M134" s="257">
        <v>0</v>
      </c>
      <c r="N134" s="257">
        <f t="shared" si="95"/>
        <v>0</v>
      </c>
      <c r="O134" s="257">
        <v>0</v>
      </c>
    </row>
    <row r="135" spans="1:15" s="430" customFormat="1" ht="33" hidden="1" customHeight="1" x14ac:dyDescent="0.2">
      <c r="A135" s="259" t="s">
        <v>76</v>
      </c>
      <c r="B135" s="252" t="s">
        <v>130</v>
      </c>
      <c r="C135" s="252" t="s">
        <v>202</v>
      </c>
      <c r="D135" s="252" t="s">
        <v>190</v>
      </c>
      <c r="E135" s="252" t="s">
        <v>749</v>
      </c>
      <c r="F135" s="252" t="s">
        <v>77</v>
      </c>
      <c r="G135" s="257">
        <v>0</v>
      </c>
      <c r="H135" s="257">
        <v>2000</v>
      </c>
      <c r="I135" s="257">
        <v>0</v>
      </c>
      <c r="J135" s="257">
        <v>0</v>
      </c>
      <c r="K135" s="257">
        <f t="shared" ref="K135:K138" si="96">I135+J135</f>
        <v>0</v>
      </c>
      <c r="L135" s="257">
        <v>0</v>
      </c>
      <c r="M135" s="257">
        <v>0</v>
      </c>
      <c r="N135" s="257">
        <f>L135+M135</f>
        <v>0</v>
      </c>
      <c r="O135" s="257">
        <v>0</v>
      </c>
    </row>
    <row r="136" spans="1:15" s="430" customFormat="1" ht="32.25" customHeight="1" x14ac:dyDescent="0.2">
      <c r="A136" s="259" t="s">
        <v>76</v>
      </c>
      <c r="B136" s="252" t="s">
        <v>130</v>
      </c>
      <c r="C136" s="252" t="s">
        <v>202</v>
      </c>
      <c r="D136" s="252" t="s">
        <v>190</v>
      </c>
      <c r="E136" s="252" t="s">
        <v>864</v>
      </c>
      <c r="F136" s="252" t="s">
        <v>77</v>
      </c>
      <c r="G136" s="257">
        <v>8270.8700000000008</v>
      </c>
      <c r="H136" s="257">
        <v>18741.13</v>
      </c>
      <c r="I136" s="257">
        <v>3144.48</v>
      </c>
      <c r="J136" s="257">
        <v>0</v>
      </c>
      <c r="K136" s="257">
        <f t="shared" si="96"/>
        <v>3144.48</v>
      </c>
      <c r="L136" s="257">
        <v>45096.912743999856</v>
      </c>
      <c r="M136" s="257">
        <v>-45096.91</v>
      </c>
      <c r="N136" s="257">
        <f>L136+M136</f>
        <v>2.7439998521003872E-3</v>
      </c>
      <c r="O136" s="257">
        <v>0</v>
      </c>
    </row>
    <row r="137" spans="1:15" s="430" customFormat="1" ht="32.25" hidden="1" customHeight="1" x14ac:dyDescent="0.2">
      <c r="A137" s="259" t="s">
        <v>76</v>
      </c>
      <c r="B137" s="252" t="s">
        <v>130</v>
      </c>
      <c r="C137" s="252" t="s">
        <v>202</v>
      </c>
      <c r="D137" s="252" t="s">
        <v>190</v>
      </c>
      <c r="E137" s="252" t="s">
        <v>1062</v>
      </c>
      <c r="F137" s="252" t="s">
        <v>77</v>
      </c>
      <c r="G137" s="257">
        <v>4600</v>
      </c>
      <c r="H137" s="257">
        <v>0</v>
      </c>
      <c r="I137" s="257">
        <v>0</v>
      </c>
      <c r="J137" s="257">
        <v>0</v>
      </c>
      <c r="K137" s="257">
        <f t="shared" si="96"/>
        <v>0</v>
      </c>
      <c r="L137" s="257">
        <v>0</v>
      </c>
      <c r="M137" s="257">
        <v>0</v>
      </c>
      <c r="N137" s="257">
        <f>L137+M137</f>
        <v>0</v>
      </c>
      <c r="O137" s="257">
        <v>0</v>
      </c>
    </row>
    <row r="138" spans="1:15" s="430" customFormat="1" ht="34.5" customHeight="1" x14ac:dyDescent="0.2">
      <c r="A138" s="259" t="s">
        <v>76</v>
      </c>
      <c r="B138" s="252" t="s">
        <v>130</v>
      </c>
      <c r="C138" s="252" t="s">
        <v>202</v>
      </c>
      <c r="D138" s="252" t="s">
        <v>190</v>
      </c>
      <c r="E138" s="251" t="s">
        <v>778</v>
      </c>
      <c r="F138" s="252" t="s">
        <v>77</v>
      </c>
      <c r="G138" s="257">
        <v>43453</v>
      </c>
      <c r="H138" s="257">
        <v>6455.7</v>
      </c>
      <c r="I138" s="257">
        <v>0</v>
      </c>
      <c r="J138" s="257">
        <v>20446.3</v>
      </c>
      <c r="K138" s="257">
        <f t="shared" si="96"/>
        <v>20446.3</v>
      </c>
      <c r="L138" s="257">
        <v>47899.6</v>
      </c>
      <c r="M138" s="257">
        <v>-47899.6</v>
      </c>
      <c r="N138" s="257">
        <f>L138+M138</f>
        <v>0</v>
      </c>
      <c r="O138" s="257">
        <v>0</v>
      </c>
    </row>
    <row r="139" spans="1:15" s="430" customFormat="1" ht="18" customHeight="1" x14ac:dyDescent="0.2">
      <c r="A139" s="259" t="s">
        <v>78</v>
      </c>
      <c r="B139" s="252" t="s">
        <v>130</v>
      </c>
      <c r="C139" s="252" t="s">
        <v>202</v>
      </c>
      <c r="D139" s="252" t="s">
        <v>190</v>
      </c>
      <c r="E139" s="251" t="s">
        <v>774</v>
      </c>
      <c r="F139" s="252" t="s">
        <v>79</v>
      </c>
      <c r="G139" s="257">
        <v>641</v>
      </c>
      <c r="H139" s="257">
        <v>-441.9</v>
      </c>
      <c r="I139" s="257">
        <v>641</v>
      </c>
      <c r="J139" s="257">
        <v>-406</v>
      </c>
      <c r="K139" s="257">
        <f t="shared" ref="K139:K140" si="97">I139+J139</f>
        <v>235</v>
      </c>
      <c r="L139" s="257">
        <v>235</v>
      </c>
      <c r="M139" s="257">
        <v>-235</v>
      </c>
      <c r="N139" s="257">
        <f t="shared" ref="N139:N140" si="98">L139+M139</f>
        <v>0</v>
      </c>
      <c r="O139" s="257">
        <v>0</v>
      </c>
    </row>
    <row r="140" spans="1:15" s="430" customFormat="1" ht="24.75" customHeight="1" x14ac:dyDescent="0.2">
      <c r="A140" s="259" t="s">
        <v>1069</v>
      </c>
      <c r="B140" s="252" t="s">
        <v>130</v>
      </c>
      <c r="C140" s="252" t="s">
        <v>202</v>
      </c>
      <c r="D140" s="252" t="s">
        <v>190</v>
      </c>
      <c r="E140" s="251" t="s">
        <v>774</v>
      </c>
      <c r="F140" s="252" t="s">
        <v>79</v>
      </c>
      <c r="G140" s="257">
        <v>6.5</v>
      </c>
      <c r="H140" s="257">
        <v>-4.49</v>
      </c>
      <c r="I140" s="257">
        <v>6.5</v>
      </c>
      <c r="J140" s="257">
        <v>-4.13</v>
      </c>
      <c r="K140" s="257">
        <f t="shared" si="97"/>
        <v>2.37</v>
      </c>
      <c r="L140" s="257">
        <v>2.37</v>
      </c>
      <c r="M140" s="257">
        <v>-2.37</v>
      </c>
      <c r="N140" s="257">
        <f t="shared" si="98"/>
        <v>0</v>
      </c>
      <c r="O140" s="257">
        <v>0</v>
      </c>
    </row>
    <row r="141" spans="1:15" s="430" customFormat="1" ht="34.5" hidden="1" customHeight="1" x14ac:dyDescent="0.2">
      <c r="A141" s="259" t="s">
        <v>1064</v>
      </c>
      <c r="B141" s="252" t="s">
        <v>130</v>
      </c>
      <c r="C141" s="252" t="s">
        <v>202</v>
      </c>
      <c r="D141" s="252" t="s">
        <v>190</v>
      </c>
      <c r="E141" s="251" t="s">
        <v>1065</v>
      </c>
      <c r="F141" s="252"/>
      <c r="G141" s="257">
        <v>0</v>
      </c>
      <c r="H141" s="257">
        <v>0</v>
      </c>
      <c r="I141" s="257">
        <v>0</v>
      </c>
      <c r="J141" s="257">
        <f t="shared" ref="J141" si="99">J142+J143</f>
        <v>0</v>
      </c>
      <c r="K141" s="257">
        <f>L142+L143</f>
        <v>0</v>
      </c>
      <c r="L141" s="257">
        <f>L142+L143</f>
        <v>0</v>
      </c>
      <c r="M141" s="257">
        <f t="shared" ref="M141" si="100">M142+M143</f>
        <v>0</v>
      </c>
      <c r="N141" s="257">
        <f>N142+N143</f>
        <v>0</v>
      </c>
      <c r="O141" s="257">
        <f>O142+O143</f>
        <v>0</v>
      </c>
    </row>
    <row r="142" spans="1:15" s="430" customFormat="1" ht="34.5" hidden="1" customHeight="1" x14ac:dyDescent="0.2">
      <c r="A142" s="259" t="s">
        <v>1066</v>
      </c>
      <c r="B142" s="252" t="s">
        <v>130</v>
      </c>
      <c r="C142" s="252" t="s">
        <v>202</v>
      </c>
      <c r="D142" s="252" t="s">
        <v>190</v>
      </c>
      <c r="E142" s="251" t="s">
        <v>1065</v>
      </c>
      <c r="F142" s="252" t="s">
        <v>1067</v>
      </c>
      <c r="G142" s="257">
        <v>0</v>
      </c>
      <c r="H142" s="257">
        <v>0</v>
      </c>
      <c r="I142" s="257">
        <v>0</v>
      </c>
      <c r="J142" s="257">
        <v>0</v>
      </c>
      <c r="K142" s="257">
        <f>I142+J142</f>
        <v>0</v>
      </c>
      <c r="L142" s="257">
        <f>J142+K142</f>
        <v>0</v>
      </c>
      <c r="M142" s="257">
        <v>0</v>
      </c>
      <c r="N142" s="257">
        <f>L142+M142</f>
        <v>0</v>
      </c>
      <c r="O142" s="257">
        <f>M142+N142</f>
        <v>0</v>
      </c>
    </row>
    <row r="143" spans="1:15" s="430" customFormat="1" ht="41.25" hidden="1" customHeight="1" x14ac:dyDescent="0.2">
      <c r="A143" s="259" t="s">
        <v>1068</v>
      </c>
      <c r="B143" s="252" t="s">
        <v>130</v>
      </c>
      <c r="C143" s="252" t="s">
        <v>202</v>
      </c>
      <c r="D143" s="252" t="s">
        <v>190</v>
      </c>
      <c r="E143" s="251" t="s">
        <v>1065</v>
      </c>
      <c r="F143" s="252" t="s">
        <v>1067</v>
      </c>
      <c r="G143" s="257">
        <v>0</v>
      </c>
      <c r="H143" s="257">
        <v>0</v>
      </c>
      <c r="I143" s="257">
        <v>0</v>
      </c>
      <c r="J143" s="257">
        <v>0</v>
      </c>
      <c r="K143" s="257">
        <f>I143+J143</f>
        <v>0</v>
      </c>
      <c r="L143" s="257">
        <f>J143+K143</f>
        <v>0</v>
      </c>
      <c r="M143" s="257">
        <v>0</v>
      </c>
      <c r="N143" s="257">
        <f>L143+M143</f>
        <v>0</v>
      </c>
      <c r="O143" s="257">
        <f>M143+N143</f>
        <v>0</v>
      </c>
    </row>
    <row r="144" spans="1:15" s="430" customFormat="1" ht="18" customHeight="1" x14ac:dyDescent="0.2">
      <c r="A144" s="462" t="s">
        <v>228</v>
      </c>
      <c r="B144" s="250" t="s">
        <v>130</v>
      </c>
      <c r="C144" s="250" t="s">
        <v>202</v>
      </c>
      <c r="D144" s="250" t="s">
        <v>192</v>
      </c>
      <c r="E144" s="252"/>
      <c r="F144" s="252"/>
      <c r="G144" s="275">
        <v>273872.58</v>
      </c>
      <c r="H144" s="275">
        <v>94147.59</v>
      </c>
      <c r="I144" s="275">
        <v>177413.16000000003</v>
      </c>
      <c r="J144" s="275" t="e">
        <f t="shared" ref="J144:O144" si="101">J145</f>
        <v>#REF!</v>
      </c>
      <c r="K144" s="275">
        <f>L145</f>
        <v>354444.99725600018</v>
      </c>
      <c r="L144" s="275">
        <f t="shared" si="101"/>
        <v>354444.99725600018</v>
      </c>
      <c r="M144" s="275">
        <f t="shared" si="101"/>
        <v>-32386.037256000061</v>
      </c>
      <c r="N144" s="275">
        <f t="shared" si="101"/>
        <v>322058.96000000002</v>
      </c>
      <c r="O144" s="275">
        <f t="shared" si="101"/>
        <v>349037.2</v>
      </c>
    </row>
    <row r="145" spans="1:15" ht="36" customHeight="1" x14ac:dyDescent="0.2">
      <c r="A145" s="259" t="s">
        <v>976</v>
      </c>
      <c r="B145" s="252" t="s">
        <v>130</v>
      </c>
      <c r="C145" s="252" t="s">
        <v>202</v>
      </c>
      <c r="D145" s="252" t="s">
        <v>192</v>
      </c>
      <c r="E145" s="251" t="s">
        <v>784</v>
      </c>
      <c r="F145" s="252"/>
      <c r="G145" s="257">
        <v>273872.58</v>
      </c>
      <c r="H145" s="257">
        <v>94147.59</v>
      </c>
      <c r="I145" s="257">
        <v>177413.16000000003</v>
      </c>
      <c r="J145" s="257" t="e">
        <f>J146+J147+J186+#REF!+J187+J188+#REF!+J191+#REF!+J194+J195+J198+J200+J203+#REF!</f>
        <v>#REF!</v>
      </c>
      <c r="K145" s="257" t="e">
        <f>L146+L147+L186+#REF!+L187+L188+#REF!+L191+#REF!+L194+L195+L198+L200+L203+#REF!</f>
        <v>#REF!</v>
      </c>
      <c r="L145" s="257">
        <f>L148+L149+L150+L151+L152+L153+L154+L155+L156+L157+L160+L165+L168+L171+L174+L177+L180+L181+L182+L183+L186+L187+L188+L191+L194+L200+L203+L205+L208</f>
        <v>354444.99725600018</v>
      </c>
      <c r="M145" s="257">
        <f t="shared" ref="M145:O145" si="102">M148+M149+M150+M151+M152+M153+M154+M155+M156+M157+M160+M165+M168+M171+M174+M177+M180+M181+M182+M183+M186+M187+M188+M191+M194+M200+M203+M205+M208</f>
        <v>-32386.037256000061</v>
      </c>
      <c r="N145" s="257">
        <f t="shared" si="102"/>
        <v>322058.96000000002</v>
      </c>
      <c r="O145" s="257">
        <f t="shared" si="102"/>
        <v>349037.2</v>
      </c>
    </row>
    <row r="146" spans="1:15" ht="38.25" hidden="1" customHeight="1" x14ac:dyDescent="0.2">
      <c r="A146" s="259" t="s">
        <v>76</v>
      </c>
      <c r="B146" s="252" t="s">
        <v>130</v>
      </c>
      <c r="C146" s="252" t="s">
        <v>202</v>
      </c>
      <c r="D146" s="252" t="s">
        <v>192</v>
      </c>
      <c r="E146" s="251" t="s">
        <v>783</v>
      </c>
      <c r="F146" s="252" t="s">
        <v>77</v>
      </c>
      <c r="G146" s="257">
        <v>0</v>
      </c>
      <c r="H146" s="257">
        <v>8081.5499999999993</v>
      </c>
      <c r="I146" s="257">
        <v>61437.11</v>
      </c>
      <c r="J146" s="257">
        <v>-61437.11</v>
      </c>
      <c r="K146" s="257">
        <f t="shared" ref="K146:K187" si="103">I146+J146</f>
        <v>0</v>
      </c>
      <c r="L146" s="257">
        <v>0</v>
      </c>
      <c r="M146" s="257">
        <v>0</v>
      </c>
      <c r="N146" s="257">
        <f t="shared" ref="N146:N187" si="104">L146+M146</f>
        <v>0</v>
      </c>
      <c r="O146" s="257">
        <v>0</v>
      </c>
    </row>
    <row r="147" spans="1:15" ht="38.25" hidden="1" customHeight="1" x14ac:dyDescent="0.2">
      <c r="A147" s="259" t="s">
        <v>76</v>
      </c>
      <c r="B147" s="252" t="s">
        <v>130</v>
      </c>
      <c r="C147" s="252" t="s">
        <v>202</v>
      </c>
      <c r="D147" s="252" t="s">
        <v>192</v>
      </c>
      <c r="E147" s="251" t="s">
        <v>1131</v>
      </c>
      <c r="F147" s="252" t="s">
        <v>77</v>
      </c>
      <c r="G147" s="257">
        <v>0</v>
      </c>
      <c r="H147" s="257">
        <v>4000</v>
      </c>
      <c r="I147" s="257">
        <v>0</v>
      </c>
      <c r="J147" s="257">
        <v>0</v>
      </c>
      <c r="K147" s="257">
        <f t="shared" si="103"/>
        <v>0</v>
      </c>
      <c r="L147" s="257">
        <v>0</v>
      </c>
      <c r="M147" s="257">
        <v>0</v>
      </c>
      <c r="N147" s="257">
        <f t="shared" si="104"/>
        <v>0</v>
      </c>
      <c r="O147" s="257">
        <v>0</v>
      </c>
    </row>
    <row r="148" spans="1:15" ht="17.25" customHeight="1" x14ac:dyDescent="0.2">
      <c r="A148" s="375" t="s">
        <v>897</v>
      </c>
      <c r="B148" s="252" t="s">
        <v>130</v>
      </c>
      <c r="C148" s="252" t="s">
        <v>202</v>
      </c>
      <c r="D148" s="252" t="s">
        <v>192</v>
      </c>
      <c r="E148" s="251" t="s">
        <v>784</v>
      </c>
      <c r="F148" s="252" t="s">
        <v>832</v>
      </c>
      <c r="G148" s="257"/>
      <c r="H148" s="257"/>
      <c r="I148" s="257"/>
      <c r="J148" s="257"/>
      <c r="K148" s="257"/>
      <c r="L148" s="257">
        <v>0</v>
      </c>
      <c r="M148" s="257">
        <v>48150</v>
      </c>
      <c r="N148" s="257">
        <f t="shared" si="104"/>
        <v>48150</v>
      </c>
      <c r="O148" s="257">
        <v>45150</v>
      </c>
    </row>
    <row r="149" spans="1:15" ht="38.25" customHeight="1" x14ac:dyDescent="0.2">
      <c r="A149" s="273" t="s">
        <v>900</v>
      </c>
      <c r="B149" s="252" t="s">
        <v>130</v>
      </c>
      <c r="C149" s="252" t="s">
        <v>202</v>
      </c>
      <c r="D149" s="252" t="s">
        <v>192</v>
      </c>
      <c r="E149" s="251" t="s">
        <v>784</v>
      </c>
      <c r="F149" s="252" t="s">
        <v>899</v>
      </c>
      <c r="G149" s="257"/>
      <c r="H149" s="257"/>
      <c r="I149" s="257"/>
      <c r="J149" s="257"/>
      <c r="K149" s="257"/>
      <c r="L149" s="257">
        <v>0</v>
      </c>
      <c r="M149" s="257">
        <v>14540</v>
      </c>
      <c r="N149" s="257">
        <f t="shared" si="104"/>
        <v>14540</v>
      </c>
      <c r="O149" s="257">
        <v>13600</v>
      </c>
    </row>
    <row r="150" spans="1:15" ht="18.75" hidden="1" customHeight="1" x14ac:dyDescent="0.2">
      <c r="A150" s="375" t="s">
        <v>897</v>
      </c>
      <c r="B150" s="252" t="s">
        <v>130</v>
      </c>
      <c r="C150" s="252" t="s">
        <v>202</v>
      </c>
      <c r="D150" s="252" t="s">
        <v>192</v>
      </c>
      <c r="E150" s="251" t="s">
        <v>1254</v>
      </c>
      <c r="F150" s="252" t="s">
        <v>832</v>
      </c>
      <c r="G150" s="257"/>
      <c r="H150" s="257"/>
      <c r="I150" s="257"/>
      <c r="J150" s="257"/>
      <c r="K150" s="257"/>
      <c r="L150" s="257">
        <v>0</v>
      </c>
      <c r="M150" s="257">
        <v>0</v>
      </c>
      <c r="N150" s="257">
        <f t="shared" si="104"/>
        <v>0</v>
      </c>
      <c r="O150" s="257">
        <v>0</v>
      </c>
    </row>
    <row r="151" spans="1:15" ht="38.25" hidden="1" customHeight="1" x14ac:dyDescent="0.2">
      <c r="A151" s="273" t="s">
        <v>900</v>
      </c>
      <c r="B151" s="252" t="s">
        <v>130</v>
      </c>
      <c r="C151" s="252" t="s">
        <v>202</v>
      </c>
      <c r="D151" s="252" t="s">
        <v>192</v>
      </c>
      <c r="E151" s="251" t="s">
        <v>1254</v>
      </c>
      <c r="F151" s="252" t="s">
        <v>899</v>
      </c>
      <c r="G151" s="257"/>
      <c r="H151" s="257"/>
      <c r="I151" s="257"/>
      <c r="J151" s="257"/>
      <c r="K151" s="257"/>
      <c r="L151" s="257">
        <v>0</v>
      </c>
      <c r="M151" s="257">
        <v>0</v>
      </c>
      <c r="N151" s="257">
        <f t="shared" si="104"/>
        <v>0</v>
      </c>
      <c r="O151" s="257">
        <v>0</v>
      </c>
    </row>
    <row r="152" spans="1:15" ht="18.75" customHeight="1" x14ac:dyDescent="0.2">
      <c r="A152" s="259" t="s">
        <v>952</v>
      </c>
      <c r="B152" s="252" t="s">
        <v>130</v>
      </c>
      <c r="C152" s="252" t="s">
        <v>202</v>
      </c>
      <c r="D152" s="252" t="s">
        <v>192</v>
      </c>
      <c r="E152" s="252" t="s">
        <v>784</v>
      </c>
      <c r="F152" s="252" t="s">
        <v>919</v>
      </c>
      <c r="G152" s="257"/>
      <c r="H152" s="257"/>
      <c r="I152" s="257"/>
      <c r="J152" s="257"/>
      <c r="K152" s="257"/>
      <c r="L152" s="257">
        <v>0</v>
      </c>
      <c r="M152" s="257">
        <v>100</v>
      </c>
      <c r="N152" s="257">
        <f t="shared" si="104"/>
        <v>100</v>
      </c>
      <c r="O152" s="257">
        <v>100</v>
      </c>
    </row>
    <row r="153" spans="1:15" ht="24" customHeight="1" x14ac:dyDescent="0.2">
      <c r="A153" s="259" t="s">
        <v>93</v>
      </c>
      <c r="B153" s="252" t="s">
        <v>130</v>
      </c>
      <c r="C153" s="252" t="s">
        <v>202</v>
      </c>
      <c r="D153" s="252" t="s">
        <v>192</v>
      </c>
      <c r="E153" s="252" t="s">
        <v>784</v>
      </c>
      <c r="F153" s="252" t="s">
        <v>94</v>
      </c>
      <c r="G153" s="257"/>
      <c r="H153" s="257"/>
      <c r="I153" s="257"/>
      <c r="J153" s="257"/>
      <c r="K153" s="257"/>
      <c r="L153" s="257">
        <v>0</v>
      </c>
      <c r="M153" s="257">
        <v>6210</v>
      </c>
      <c r="N153" s="257">
        <f t="shared" si="104"/>
        <v>6210</v>
      </c>
      <c r="O153" s="257">
        <v>6210</v>
      </c>
    </row>
    <row r="154" spans="1:15" ht="18" customHeight="1" x14ac:dyDescent="0.2">
      <c r="A154" s="259" t="s">
        <v>1167</v>
      </c>
      <c r="B154" s="252" t="s">
        <v>130</v>
      </c>
      <c r="C154" s="252" t="s">
        <v>202</v>
      </c>
      <c r="D154" s="252" t="s">
        <v>192</v>
      </c>
      <c r="E154" s="252" t="s">
        <v>784</v>
      </c>
      <c r="F154" s="252" t="s">
        <v>1166</v>
      </c>
      <c r="G154" s="257"/>
      <c r="H154" s="257"/>
      <c r="I154" s="257"/>
      <c r="J154" s="257"/>
      <c r="K154" s="257"/>
      <c r="L154" s="257">
        <v>0</v>
      </c>
      <c r="M154" s="257">
        <v>2200</v>
      </c>
      <c r="N154" s="257">
        <f t="shared" si="104"/>
        <v>2200</v>
      </c>
      <c r="O154" s="257">
        <v>850</v>
      </c>
    </row>
    <row r="155" spans="1:15" ht="17.25" customHeight="1" x14ac:dyDescent="0.2">
      <c r="A155" s="259" t="s">
        <v>103</v>
      </c>
      <c r="B155" s="252" t="s">
        <v>130</v>
      </c>
      <c r="C155" s="252" t="s">
        <v>202</v>
      </c>
      <c r="D155" s="252" t="s">
        <v>192</v>
      </c>
      <c r="E155" s="252" t="s">
        <v>784</v>
      </c>
      <c r="F155" s="252" t="s">
        <v>104</v>
      </c>
      <c r="G155" s="257"/>
      <c r="H155" s="257"/>
      <c r="I155" s="257"/>
      <c r="J155" s="257"/>
      <c r="K155" s="257"/>
      <c r="L155" s="257">
        <v>0</v>
      </c>
      <c r="M155" s="257">
        <v>2200</v>
      </c>
      <c r="N155" s="257">
        <f t="shared" si="104"/>
        <v>2200</v>
      </c>
      <c r="O155" s="257">
        <v>2200</v>
      </c>
    </row>
    <row r="156" spans="1:15" ht="15.75" customHeight="1" x14ac:dyDescent="0.2">
      <c r="A156" s="259" t="s">
        <v>400</v>
      </c>
      <c r="B156" s="252" t="s">
        <v>130</v>
      </c>
      <c r="C156" s="252" t="s">
        <v>202</v>
      </c>
      <c r="D156" s="252" t="s">
        <v>192</v>
      </c>
      <c r="E156" s="252" t="s">
        <v>784</v>
      </c>
      <c r="F156" s="252" t="s">
        <v>106</v>
      </c>
      <c r="G156" s="257"/>
      <c r="H156" s="257"/>
      <c r="I156" s="257"/>
      <c r="J156" s="257"/>
      <c r="K156" s="257"/>
      <c r="L156" s="257">
        <v>0</v>
      </c>
      <c r="M156" s="257">
        <v>10</v>
      </c>
      <c r="N156" s="257">
        <f t="shared" si="104"/>
        <v>10</v>
      </c>
      <c r="O156" s="257">
        <v>10</v>
      </c>
    </row>
    <row r="157" spans="1:15" ht="60" customHeight="1" x14ac:dyDescent="0.2">
      <c r="A157" s="259" t="s">
        <v>942</v>
      </c>
      <c r="B157" s="252" t="s">
        <v>130</v>
      </c>
      <c r="C157" s="252" t="s">
        <v>202</v>
      </c>
      <c r="D157" s="252" t="s">
        <v>192</v>
      </c>
      <c r="E157" s="251" t="s">
        <v>1264</v>
      </c>
      <c r="F157" s="252"/>
      <c r="G157" s="257"/>
      <c r="H157" s="257"/>
      <c r="I157" s="257"/>
      <c r="J157" s="257"/>
      <c r="K157" s="257"/>
      <c r="L157" s="257">
        <f>L158+L159</f>
        <v>0</v>
      </c>
      <c r="M157" s="257">
        <f t="shared" ref="M157:O157" si="105">M158+M159</f>
        <v>196663.88</v>
      </c>
      <c r="N157" s="257">
        <f t="shared" si="105"/>
        <v>196663.88</v>
      </c>
      <c r="O157" s="257">
        <f t="shared" si="105"/>
        <v>228533.3</v>
      </c>
    </row>
    <row r="158" spans="1:15" ht="24" customHeight="1" x14ac:dyDescent="0.2">
      <c r="A158" s="375" t="s">
        <v>897</v>
      </c>
      <c r="B158" s="252" t="s">
        <v>130</v>
      </c>
      <c r="C158" s="252" t="s">
        <v>202</v>
      </c>
      <c r="D158" s="252" t="s">
        <v>192</v>
      </c>
      <c r="E158" s="251" t="s">
        <v>1264</v>
      </c>
      <c r="F158" s="252" t="s">
        <v>832</v>
      </c>
      <c r="G158" s="257"/>
      <c r="H158" s="257"/>
      <c r="I158" s="257"/>
      <c r="J158" s="257"/>
      <c r="K158" s="257"/>
      <c r="L158" s="257">
        <v>0</v>
      </c>
      <c r="M158" s="257">
        <v>151048</v>
      </c>
      <c r="N158" s="257">
        <f>L158+M158</f>
        <v>151048</v>
      </c>
      <c r="O158" s="257">
        <v>175525</v>
      </c>
    </row>
    <row r="159" spans="1:15" ht="38.25" customHeight="1" x14ac:dyDescent="0.2">
      <c r="A159" s="273" t="s">
        <v>900</v>
      </c>
      <c r="B159" s="252" t="s">
        <v>130</v>
      </c>
      <c r="C159" s="252" t="s">
        <v>202</v>
      </c>
      <c r="D159" s="252" t="s">
        <v>192</v>
      </c>
      <c r="E159" s="251" t="s">
        <v>1264</v>
      </c>
      <c r="F159" s="252" t="s">
        <v>899</v>
      </c>
      <c r="G159" s="257"/>
      <c r="H159" s="257"/>
      <c r="I159" s="257"/>
      <c r="J159" s="257"/>
      <c r="K159" s="257"/>
      <c r="L159" s="257">
        <v>0</v>
      </c>
      <c r="M159" s="257">
        <v>45615.88</v>
      </c>
      <c r="N159" s="257">
        <f>L159+M159</f>
        <v>45615.88</v>
      </c>
      <c r="O159" s="257">
        <v>53008.3</v>
      </c>
    </row>
    <row r="160" spans="1:15" ht="38.25" customHeight="1" x14ac:dyDescent="0.2">
      <c r="A160" s="259" t="s">
        <v>1242</v>
      </c>
      <c r="B160" s="252" t="s">
        <v>130</v>
      </c>
      <c r="C160" s="252" t="s">
        <v>202</v>
      </c>
      <c r="D160" s="252" t="s">
        <v>192</v>
      </c>
      <c r="E160" s="251" t="s">
        <v>1243</v>
      </c>
      <c r="F160" s="252"/>
      <c r="G160" s="257"/>
      <c r="H160" s="257"/>
      <c r="I160" s="257"/>
      <c r="J160" s="257"/>
      <c r="K160" s="257"/>
      <c r="L160" s="257">
        <f>L161+L162+L163+L164</f>
        <v>0</v>
      </c>
      <c r="M160" s="257">
        <f t="shared" ref="M160:O160" si="106">M161+M163+M162+M164</f>
        <v>2279</v>
      </c>
      <c r="N160" s="257">
        <f t="shared" si="106"/>
        <v>2279</v>
      </c>
      <c r="O160" s="257">
        <f t="shared" si="106"/>
        <v>2279</v>
      </c>
    </row>
    <row r="161" spans="1:15" ht="19.5" customHeight="1" x14ac:dyDescent="0.2">
      <c r="A161" s="259" t="s">
        <v>897</v>
      </c>
      <c r="B161" s="252" t="s">
        <v>130</v>
      </c>
      <c r="C161" s="252" t="s">
        <v>202</v>
      </c>
      <c r="D161" s="252" t="s">
        <v>192</v>
      </c>
      <c r="E161" s="251" t="s">
        <v>1243</v>
      </c>
      <c r="F161" s="252" t="s">
        <v>832</v>
      </c>
      <c r="G161" s="257"/>
      <c r="H161" s="257"/>
      <c r="I161" s="257"/>
      <c r="J161" s="257"/>
      <c r="K161" s="257"/>
      <c r="L161" s="257">
        <f t="shared" ref="L161:L164" si="107">J161+K161</f>
        <v>0</v>
      </c>
      <c r="M161" s="257">
        <v>2256.1999999999998</v>
      </c>
      <c r="N161" s="257">
        <f t="shared" ref="N161:N164" si="108">L161+M161</f>
        <v>2256.1999999999998</v>
      </c>
      <c r="O161" s="257">
        <v>2256.1999999999998</v>
      </c>
    </row>
    <row r="162" spans="1:15" ht="19.5" customHeight="1" x14ac:dyDescent="0.2">
      <c r="A162" s="259" t="s">
        <v>897</v>
      </c>
      <c r="B162" s="252"/>
      <c r="C162" s="252"/>
      <c r="D162" s="252"/>
      <c r="E162" s="251" t="s">
        <v>1243</v>
      </c>
      <c r="F162" s="252" t="s">
        <v>832</v>
      </c>
      <c r="G162" s="257"/>
      <c r="H162" s="257"/>
      <c r="I162" s="257"/>
      <c r="J162" s="257"/>
      <c r="K162" s="257"/>
      <c r="L162" s="257">
        <f t="shared" si="107"/>
        <v>0</v>
      </c>
      <c r="M162" s="257">
        <v>22.8</v>
      </c>
      <c r="N162" s="257">
        <f t="shared" si="108"/>
        <v>22.8</v>
      </c>
      <c r="O162" s="257">
        <v>22.8</v>
      </c>
    </row>
    <row r="163" spans="1:15" ht="38.25" hidden="1" customHeight="1" x14ac:dyDescent="0.2">
      <c r="A163" s="259" t="s">
        <v>900</v>
      </c>
      <c r="B163" s="252" t="s">
        <v>130</v>
      </c>
      <c r="C163" s="252" t="s">
        <v>202</v>
      </c>
      <c r="D163" s="252" t="s">
        <v>192</v>
      </c>
      <c r="E163" s="251" t="s">
        <v>1243</v>
      </c>
      <c r="F163" s="252" t="s">
        <v>899</v>
      </c>
      <c r="G163" s="257"/>
      <c r="H163" s="257"/>
      <c r="I163" s="257"/>
      <c r="J163" s="257"/>
      <c r="K163" s="257"/>
      <c r="L163" s="257">
        <f t="shared" si="107"/>
        <v>0</v>
      </c>
      <c r="M163" s="257">
        <v>0</v>
      </c>
      <c r="N163" s="257">
        <f t="shared" si="108"/>
        <v>0</v>
      </c>
      <c r="O163" s="257">
        <v>0</v>
      </c>
    </row>
    <row r="164" spans="1:15" ht="38.25" hidden="1" customHeight="1" x14ac:dyDescent="0.2">
      <c r="A164" s="259" t="s">
        <v>900</v>
      </c>
      <c r="B164" s="252" t="s">
        <v>130</v>
      </c>
      <c r="C164" s="252" t="s">
        <v>202</v>
      </c>
      <c r="D164" s="252" t="s">
        <v>192</v>
      </c>
      <c r="E164" s="251" t="s">
        <v>1243</v>
      </c>
      <c r="F164" s="252" t="s">
        <v>899</v>
      </c>
      <c r="G164" s="257"/>
      <c r="H164" s="257"/>
      <c r="I164" s="257"/>
      <c r="J164" s="257"/>
      <c r="K164" s="257"/>
      <c r="L164" s="257">
        <f t="shared" si="107"/>
        <v>0</v>
      </c>
      <c r="M164" s="257">
        <v>0</v>
      </c>
      <c r="N164" s="257">
        <f t="shared" si="108"/>
        <v>0</v>
      </c>
      <c r="O164" s="257">
        <v>0</v>
      </c>
    </row>
    <row r="165" spans="1:15" ht="38.25" customHeight="1" x14ac:dyDescent="0.2">
      <c r="A165" s="259" t="s">
        <v>1161</v>
      </c>
      <c r="B165" s="252" t="s">
        <v>130</v>
      </c>
      <c r="C165" s="252" t="s">
        <v>202</v>
      </c>
      <c r="D165" s="252" t="s">
        <v>192</v>
      </c>
      <c r="E165" s="251" t="s">
        <v>1162</v>
      </c>
      <c r="F165" s="252"/>
      <c r="G165" s="257"/>
      <c r="H165" s="257"/>
      <c r="I165" s="257"/>
      <c r="J165" s="257"/>
      <c r="K165" s="257"/>
      <c r="L165" s="257">
        <f>L166+L167</f>
        <v>0</v>
      </c>
      <c r="M165" s="257">
        <f t="shared" ref="M165:O165" si="109">M166+M167</f>
        <v>25897.199999999997</v>
      </c>
      <c r="N165" s="257">
        <f t="shared" si="109"/>
        <v>25897.199999999997</v>
      </c>
      <c r="O165" s="257">
        <f t="shared" si="109"/>
        <v>25898.300000000003</v>
      </c>
    </row>
    <row r="166" spans="1:15" ht="16.5" customHeight="1" x14ac:dyDescent="0.2">
      <c r="A166" s="375" t="s">
        <v>897</v>
      </c>
      <c r="B166" s="252" t="s">
        <v>130</v>
      </c>
      <c r="C166" s="252" t="s">
        <v>202</v>
      </c>
      <c r="D166" s="252" t="s">
        <v>192</v>
      </c>
      <c r="E166" s="251" t="s">
        <v>1162</v>
      </c>
      <c r="F166" s="252" t="s">
        <v>832</v>
      </c>
      <c r="G166" s="257"/>
      <c r="H166" s="257"/>
      <c r="I166" s="257"/>
      <c r="J166" s="257"/>
      <c r="K166" s="257"/>
      <c r="L166" s="257">
        <v>0</v>
      </c>
      <c r="M166" s="257">
        <v>19890.3</v>
      </c>
      <c r="N166" s="257">
        <f>L166+M166</f>
        <v>19890.3</v>
      </c>
      <c r="O166" s="257">
        <v>19891.2</v>
      </c>
    </row>
    <row r="167" spans="1:15" ht="38.25" customHeight="1" x14ac:dyDescent="0.2">
      <c r="A167" s="273" t="s">
        <v>900</v>
      </c>
      <c r="B167" s="252" t="s">
        <v>130</v>
      </c>
      <c r="C167" s="252" t="s">
        <v>202</v>
      </c>
      <c r="D167" s="252" t="s">
        <v>192</v>
      </c>
      <c r="E167" s="251" t="s">
        <v>1162</v>
      </c>
      <c r="F167" s="252" t="s">
        <v>899</v>
      </c>
      <c r="G167" s="257"/>
      <c r="H167" s="257"/>
      <c r="I167" s="257"/>
      <c r="J167" s="257"/>
      <c r="K167" s="257"/>
      <c r="L167" s="257">
        <v>0</v>
      </c>
      <c r="M167" s="257">
        <v>6006.9</v>
      </c>
      <c r="N167" s="257">
        <f>L167+M167</f>
        <v>6006.9</v>
      </c>
      <c r="O167" s="257">
        <v>6007.1</v>
      </c>
    </row>
    <row r="168" spans="1:15" ht="38.25" customHeight="1" x14ac:dyDescent="0.2">
      <c r="A168" s="259" t="s">
        <v>1297</v>
      </c>
      <c r="B168" s="252" t="s">
        <v>130</v>
      </c>
      <c r="C168" s="252" t="s">
        <v>202</v>
      </c>
      <c r="D168" s="252" t="s">
        <v>192</v>
      </c>
      <c r="E168" s="251" t="s">
        <v>1298</v>
      </c>
      <c r="F168" s="252"/>
      <c r="G168" s="257"/>
      <c r="H168" s="257"/>
      <c r="I168" s="257"/>
      <c r="J168" s="257"/>
      <c r="K168" s="257"/>
      <c r="L168" s="257">
        <f>L169+L170</f>
        <v>0</v>
      </c>
      <c r="M168" s="257">
        <f t="shared" ref="M168:O168" si="110">M169+M170</f>
        <v>3300.7999999999997</v>
      </c>
      <c r="N168" s="257">
        <f t="shared" si="110"/>
        <v>3300.7999999999997</v>
      </c>
      <c r="O168" s="257">
        <f t="shared" si="110"/>
        <v>3906.5</v>
      </c>
    </row>
    <row r="169" spans="1:15" ht="23.25" customHeight="1" x14ac:dyDescent="0.2">
      <c r="A169" s="273" t="s">
        <v>897</v>
      </c>
      <c r="B169" s="252" t="s">
        <v>130</v>
      </c>
      <c r="C169" s="252" t="s">
        <v>202</v>
      </c>
      <c r="D169" s="252" t="s">
        <v>192</v>
      </c>
      <c r="E169" s="251" t="s">
        <v>1298</v>
      </c>
      <c r="F169" s="252" t="s">
        <v>832</v>
      </c>
      <c r="G169" s="257"/>
      <c r="H169" s="257"/>
      <c r="I169" s="257"/>
      <c r="J169" s="257"/>
      <c r="K169" s="257"/>
      <c r="L169" s="257">
        <v>0</v>
      </c>
      <c r="M169" s="257">
        <v>2535.1999999999998</v>
      </c>
      <c r="N169" s="257">
        <f>L169+M169</f>
        <v>2535.1999999999998</v>
      </c>
      <c r="O169" s="257">
        <v>3000.4</v>
      </c>
    </row>
    <row r="170" spans="1:15" ht="38.25" customHeight="1" x14ac:dyDescent="0.2">
      <c r="A170" s="273" t="s">
        <v>900</v>
      </c>
      <c r="B170" s="252" t="s">
        <v>130</v>
      </c>
      <c r="C170" s="252" t="s">
        <v>202</v>
      </c>
      <c r="D170" s="252" t="s">
        <v>192</v>
      </c>
      <c r="E170" s="251" t="s">
        <v>1298</v>
      </c>
      <c r="F170" s="252" t="s">
        <v>899</v>
      </c>
      <c r="G170" s="257"/>
      <c r="H170" s="257"/>
      <c r="I170" s="257"/>
      <c r="J170" s="257"/>
      <c r="K170" s="257"/>
      <c r="L170" s="257">
        <v>0</v>
      </c>
      <c r="M170" s="257">
        <v>765.6</v>
      </c>
      <c r="N170" s="257">
        <f>L170+M170</f>
        <v>765.6</v>
      </c>
      <c r="O170" s="257">
        <v>906.1</v>
      </c>
    </row>
    <row r="171" spans="1:15" ht="45" customHeight="1" x14ac:dyDescent="0.2">
      <c r="A171" s="259" t="s">
        <v>1238</v>
      </c>
      <c r="B171" s="252" t="s">
        <v>130</v>
      </c>
      <c r="C171" s="252" t="s">
        <v>202</v>
      </c>
      <c r="D171" s="252" t="s">
        <v>192</v>
      </c>
      <c r="E171" s="251" t="s">
        <v>1246</v>
      </c>
      <c r="F171" s="252"/>
      <c r="G171" s="257"/>
      <c r="H171" s="257"/>
      <c r="I171" s="257"/>
      <c r="J171" s="257"/>
      <c r="K171" s="257"/>
      <c r="L171" s="257">
        <f>L172+L173</f>
        <v>0</v>
      </c>
      <c r="M171" s="257">
        <f t="shared" ref="M171:O171" si="111">M172+M173</f>
        <v>420.2</v>
      </c>
      <c r="N171" s="257">
        <f t="shared" si="111"/>
        <v>420.2</v>
      </c>
      <c r="O171" s="257">
        <f t="shared" si="111"/>
        <v>420.2</v>
      </c>
    </row>
    <row r="172" spans="1:15" ht="17.25" customHeight="1" x14ac:dyDescent="0.2">
      <c r="A172" s="259" t="s">
        <v>93</v>
      </c>
      <c r="B172" s="252" t="s">
        <v>130</v>
      </c>
      <c r="C172" s="252" t="s">
        <v>202</v>
      </c>
      <c r="D172" s="252" t="s">
        <v>192</v>
      </c>
      <c r="E172" s="251" t="s">
        <v>1246</v>
      </c>
      <c r="F172" s="252" t="s">
        <v>94</v>
      </c>
      <c r="G172" s="257"/>
      <c r="H172" s="257"/>
      <c r="I172" s="257"/>
      <c r="J172" s="257"/>
      <c r="K172" s="257"/>
      <c r="L172" s="257">
        <v>0</v>
      </c>
      <c r="M172" s="257">
        <v>416</v>
      </c>
      <c r="N172" s="257">
        <f>L172+M172</f>
        <v>416</v>
      </c>
      <c r="O172" s="257">
        <v>416</v>
      </c>
    </row>
    <row r="173" spans="1:15" ht="17.25" customHeight="1" x14ac:dyDescent="0.2">
      <c r="A173" s="259" t="s">
        <v>93</v>
      </c>
      <c r="B173" s="252" t="s">
        <v>130</v>
      </c>
      <c r="C173" s="252" t="s">
        <v>202</v>
      </c>
      <c r="D173" s="252" t="s">
        <v>192</v>
      </c>
      <c r="E173" s="251" t="s">
        <v>1246</v>
      </c>
      <c r="F173" s="252" t="s">
        <v>94</v>
      </c>
      <c r="G173" s="257"/>
      <c r="H173" s="257"/>
      <c r="I173" s="257"/>
      <c r="J173" s="257"/>
      <c r="K173" s="257"/>
      <c r="L173" s="257">
        <v>0</v>
      </c>
      <c r="M173" s="257">
        <v>4.1999999999999993</v>
      </c>
      <c r="N173" s="257">
        <f>L173+M173</f>
        <v>4.1999999999999993</v>
      </c>
      <c r="O173" s="257">
        <v>4.1999999999999993</v>
      </c>
    </row>
    <row r="174" spans="1:15" ht="45.75" customHeight="1" x14ac:dyDescent="0.2">
      <c r="A174" s="259" t="s">
        <v>1237</v>
      </c>
      <c r="B174" s="252" t="s">
        <v>130</v>
      </c>
      <c r="C174" s="252" t="s">
        <v>202</v>
      </c>
      <c r="D174" s="252" t="s">
        <v>192</v>
      </c>
      <c r="E174" s="251" t="s">
        <v>1247</v>
      </c>
      <c r="F174" s="252"/>
      <c r="G174" s="257"/>
      <c r="H174" s="257"/>
      <c r="I174" s="257"/>
      <c r="J174" s="257"/>
      <c r="K174" s="257"/>
      <c r="L174" s="257">
        <f>L175+L176</f>
        <v>0</v>
      </c>
      <c r="M174" s="257">
        <f t="shared" ref="M174:O174" si="112">M175+M176</f>
        <v>664.04</v>
      </c>
      <c r="N174" s="257">
        <f t="shared" si="112"/>
        <v>664.04</v>
      </c>
      <c r="O174" s="257">
        <f t="shared" si="112"/>
        <v>664.04</v>
      </c>
    </row>
    <row r="175" spans="1:15" ht="16.5" customHeight="1" x14ac:dyDescent="0.2">
      <c r="A175" s="259" t="s">
        <v>93</v>
      </c>
      <c r="B175" s="252" t="s">
        <v>130</v>
      </c>
      <c r="C175" s="252" t="s">
        <v>202</v>
      </c>
      <c r="D175" s="252" t="s">
        <v>192</v>
      </c>
      <c r="E175" s="251" t="s">
        <v>1247</v>
      </c>
      <c r="F175" s="252" t="s">
        <v>94</v>
      </c>
      <c r="G175" s="257"/>
      <c r="H175" s="257"/>
      <c r="I175" s="257"/>
      <c r="J175" s="257"/>
      <c r="K175" s="257"/>
      <c r="L175" s="257">
        <v>0</v>
      </c>
      <c r="M175" s="257">
        <v>657.4</v>
      </c>
      <c r="N175" s="257">
        <f>L175+M175</f>
        <v>657.4</v>
      </c>
      <c r="O175" s="257">
        <v>657.4</v>
      </c>
    </row>
    <row r="176" spans="1:15" ht="16.5" customHeight="1" x14ac:dyDescent="0.2">
      <c r="A176" s="259" t="s">
        <v>93</v>
      </c>
      <c r="B176" s="252" t="s">
        <v>130</v>
      </c>
      <c r="C176" s="252" t="s">
        <v>202</v>
      </c>
      <c r="D176" s="252" t="s">
        <v>192</v>
      </c>
      <c r="E176" s="251" t="s">
        <v>1247</v>
      </c>
      <c r="F176" s="252" t="s">
        <v>94</v>
      </c>
      <c r="G176" s="257"/>
      <c r="H176" s="257"/>
      <c r="I176" s="257"/>
      <c r="J176" s="257"/>
      <c r="K176" s="257"/>
      <c r="L176" s="257">
        <v>0</v>
      </c>
      <c r="M176" s="257">
        <v>6.64</v>
      </c>
      <c r="N176" s="257">
        <f>L176+M176</f>
        <v>6.64</v>
      </c>
      <c r="O176" s="257">
        <v>6.64</v>
      </c>
    </row>
    <row r="177" spans="1:15" ht="38.25" customHeight="1" x14ac:dyDescent="0.2">
      <c r="A177" s="259" t="s">
        <v>1159</v>
      </c>
      <c r="B177" s="252" t="s">
        <v>130</v>
      </c>
      <c r="C177" s="252" t="s">
        <v>202</v>
      </c>
      <c r="D177" s="252" t="s">
        <v>192</v>
      </c>
      <c r="E177" s="251" t="s">
        <v>1301</v>
      </c>
      <c r="F177" s="252"/>
      <c r="G177" s="257"/>
      <c r="H177" s="257"/>
      <c r="I177" s="257"/>
      <c r="J177" s="257"/>
      <c r="K177" s="257"/>
      <c r="L177" s="257">
        <f>L178+L179</f>
        <v>0</v>
      </c>
      <c r="M177" s="257">
        <f t="shared" ref="M177:O177" si="113">M178+M179</f>
        <v>17119.189999999999</v>
      </c>
      <c r="N177" s="257">
        <f t="shared" si="113"/>
        <v>17119.189999999999</v>
      </c>
      <c r="O177" s="257">
        <f t="shared" si="113"/>
        <v>16911.21</v>
      </c>
    </row>
    <row r="178" spans="1:15" ht="21" customHeight="1" x14ac:dyDescent="0.2">
      <c r="A178" s="259" t="s">
        <v>93</v>
      </c>
      <c r="B178" s="252" t="s">
        <v>130</v>
      </c>
      <c r="C178" s="252" t="s">
        <v>202</v>
      </c>
      <c r="D178" s="252" t="s">
        <v>192</v>
      </c>
      <c r="E178" s="251" t="s">
        <v>1301</v>
      </c>
      <c r="F178" s="252" t="s">
        <v>94</v>
      </c>
      <c r="G178" s="257"/>
      <c r="H178" s="257"/>
      <c r="I178" s="257"/>
      <c r="J178" s="257"/>
      <c r="K178" s="257"/>
      <c r="L178" s="257">
        <v>0</v>
      </c>
      <c r="M178" s="257">
        <v>16948</v>
      </c>
      <c r="N178" s="257">
        <f>L178+M178</f>
        <v>16948</v>
      </c>
      <c r="O178" s="257">
        <v>16742.099999999999</v>
      </c>
    </row>
    <row r="179" spans="1:15" ht="23.25" customHeight="1" x14ac:dyDescent="0.2">
      <c r="A179" s="259" t="s">
        <v>93</v>
      </c>
      <c r="B179" s="252" t="s">
        <v>130</v>
      </c>
      <c r="C179" s="252" t="s">
        <v>202</v>
      </c>
      <c r="D179" s="252" t="s">
        <v>192</v>
      </c>
      <c r="E179" s="251" t="s">
        <v>1301</v>
      </c>
      <c r="F179" s="252" t="s">
        <v>94</v>
      </c>
      <c r="G179" s="257"/>
      <c r="H179" s="257"/>
      <c r="I179" s="257"/>
      <c r="J179" s="257"/>
      <c r="K179" s="257"/>
      <c r="L179" s="257">
        <v>0</v>
      </c>
      <c r="M179" s="257">
        <v>171.19</v>
      </c>
      <c r="N179" s="257">
        <f>L179+M179</f>
        <v>171.19</v>
      </c>
      <c r="O179" s="257">
        <v>169.11</v>
      </c>
    </row>
    <row r="180" spans="1:15" ht="25.5" hidden="1" customHeight="1" x14ac:dyDescent="0.2">
      <c r="A180" s="259" t="s">
        <v>1063</v>
      </c>
      <c r="B180" s="252" t="s">
        <v>130</v>
      </c>
      <c r="C180" s="252" t="s">
        <v>202</v>
      </c>
      <c r="D180" s="252" t="s">
        <v>192</v>
      </c>
      <c r="E180" s="251" t="s">
        <v>753</v>
      </c>
      <c r="F180" s="252" t="s">
        <v>94</v>
      </c>
      <c r="G180" s="257"/>
      <c r="H180" s="257"/>
      <c r="I180" s="257"/>
      <c r="J180" s="257"/>
      <c r="K180" s="257"/>
      <c r="L180" s="257">
        <v>0</v>
      </c>
      <c r="M180" s="257">
        <v>0</v>
      </c>
      <c r="N180" s="257">
        <f t="shared" ref="N180:N182" si="114">L180+M180</f>
        <v>0</v>
      </c>
      <c r="O180" s="257">
        <v>0</v>
      </c>
    </row>
    <row r="181" spans="1:15" ht="21" hidden="1" customHeight="1" x14ac:dyDescent="0.2">
      <c r="A181" s="259" t="s">
        <v>1303</v>
      </c>
      <c r="B181" s="252" t="s">
        <v>130</v>
      </c>
      <c r="C181" s="252" t="s">
        <v>202</v>
      </c>
      <c r="D181" s="252" t="s">
        <v>192</v>
      </c>
      <c r="E181" s="251" t="s">
        <v>1300</v>
      </c>
      <c r="F181" s="252" t="s">
        <v>94</v>
      </c>
      <c r="G181" s="257"/>
      <c r="H181" s="257"/>
      <c r="I181" s="257"/>
      <c r="J181" s="257"/>
      <c r="K181" s="257"/>
      <c r="L181" s="257">
        <v>0</v>
      </c>
      <c r="M181" s="257">
        <v>0</v>
      </c>
      <c r="N181" s="257">
        <f t="shared" si="114"/>
        <v>0</v>
      </c>
      <c r="O181" s="257">
        <v>0</v>
      </c>
    </row>
    <row r="182" spans="1:15" ht="19.5" customHeight="1" x14ac:dyDescent="0.2">
      <c r="A182" s="259" t="s">
        <v>497</v>
      </c>
      <c r="B182" s="252" t="s">
        <v>130</v>
      </c>
      <c r="C182" s="252" t="s">
        <v>202</v>
      </c>
      <c r="D182" s="252" t="s">
        <v>192</v>
      </c>
      <c r="E182" s="251" t="s">
        <v>1181</v>
      </c>
      <c r="F182" s="252" t="s">
        <v>94</v>
      </c>
      <c r="G182" s="257"/>
      <c r="H182" s="257"/>
      <c r="I182" s="257"/>
      <c r="J182" s="257"/>
      <c r="K182" s="257"/>
      <c r="L182" s="257">
        <v>0</v>
      </c>
      <c r="M182" s="257">
        <v>150</v>
      </c>
      <c r="N182" s="257">
        <f t="shared" si="114"/>
        <v>150</v>
      </c>
      <c r="O182" s="257">
        <v>150</v>
      </c>
    </row>
    <row r="183" spans="1:15" ht="38.25" customHeight="1" x14ac:dyDescent="0.2">
      <c r="A183" s="259" t="s">
        <v>1042</v>
      </c>
      <c r="B183" s="252" t="s">
        <v>130</v>
      </c>
      <c r="C183" s="252" t="s">
        <v>202</v>
      </c>
      <c r="D183" s="252" t="s">
        <v>192</v>
      </c>
      <c r="E183" s="251" t="s">
        <v>1261</v>
      </c>
      <c r="F183" s="252"/>
      <c r="G183" s="257"/>
      <c r="H183" s="257"/>
      <c r="I183" s="257"/>
      <c r="J183" s="257"/>
      <c r="K183" s="257"/>
      <c r="L183" s="257">
        <f>L184+L185</f>
        <v>0</v>
      </c>
      <c r="M183" s="257">
        <f t="shared" ref="M183:O183" si="115">M184+M185</f>
        <v>2154.65</v>
      </c>
      <c r="N183" s="257">
        <f t="shared" si="115"/>
        <v>2154.65</v>
      </c>
      <c r="O183" s="257">
        <f t="shared" si="115"/>
        <v>2154.65</v>
      </c>
    </row>
    <row r="184" spans="1:15" ht="18" customHeight="1" x14ac:dyDescent="0.2">
      <c r="A184" s="259" t="s">
        <v>1167</v>
      </c>
      <c r="B184" s="252" t="s">
        <v>130</v>
      </c>
      <c r="C184" s="252" t="s">
        <v>202</v>
      </c>
      <c r="D184" s="252" t="s">
        <v>192</v>
      </c>
      <c r="E184" s="251" t="s">
        <v>1261</v>
      </c>
      <c r="F184" s="252" t="s">
        <v>1166</v>
      </c>
      <c r="G184" s="257"/>
      <c r="H184" s="257"/>
      <c r="I184" s="257"/>
      <c r="J184" s="257"/>
      <c r="K184" s="257"/>
      <c r="L184" s="257">
        <v>0</v>
      </c>
      <c r="M184" s="257">
        <v>2133.1</v>
      </c>
      <c r="N184" s="257">
        <f>L184+M184</f>
        <v>2133.1</v>
      </c>
      <c r="O184" s="257">
        <v>2133.1</v>
      </c>
    </row>
    <row r="185" spans="1:15" ht="18" customHeight="1" x14ac:dyDescent="0.2">
      <c r="A185" s="259" t="s">
        <v>1167</v>
      </c>
      <c r="B185" s="252" t="s">
        <v>130</v>
      </c>
      <c r="C185" s="252" t="s">
        <v>202</v>
      </c>
      <c r="D185" s="252" t="s">
        <v>192</v>
      </c>
      <c r="E185" s="251" t="s">
        <v>1261</v>
      </c>
      <c r="F185" s="252" t="s">
        <v>1166</v>
      </c>
      <c r="G185" s="257"/>
      <c r="H185" s="257"/>
      <c r="I185" s="257"/>
      <c r="J185" s="257"/>
      <c r="K185" s="257"/>
      <c r="L185" s="257">
        <v>0</v>
      </c>
      <c r="M185" s="257">
        <v>21.55</v>
      </c>
      <c r="N185" s="257">
        <f>L185+M185</f>
        <v>21.55</v>
      </c>
      <c r="O185" s="257">
        <v>21.55</v>
      </c>
    </row>
    <row r="186" spans="1:15" ht="36.75" customHeight="1" x14ac:dyDescent="0.2">
      <c r="A186" s="259" t="s">
        <v>76</v>
      </c>
      <c r="B186" s="252" t="s">
        <v>130</v>
      </c>
      <c r="C186" s="252" t="s">
        <v>202</v>
      </c>
      <c r="D186" s="252" t="s">
        <v>192</v>
      </c>
      <c r="E186" s="251" t="s">
        <v>785</v>
      </c>
      <c r="F186" s="252" t="s">
        <v>77</v>
      </c>
      <c r="G186" s="257">
        <v>61790.26</v>
      </c>
      <c r="H186" s="257">
        <v>8292.64</v>
      </c>
      <c r="I186" s="257">
        <v>0</v>
      </c>
      <c r="J186" s="257">
        <v>51707.135750000016</v>
      </c>
      <c r="K186" s="257">
        <f t="shared" si="103"/>
        <v>51707.135750000016</v>
      </c>
      <c r="L186" s="257">
        <v>55734.837256000144</v>
      </c>
      <c r="M186" s="257">
        <v>-55734.837256000101</v>
      </c>
      <c r="N186" s="257">
        <f t="shared" si="104"/>
        <v>0</v>
      </c>
      <c r="O186" s="257">
        <v>0</v>
      </c>
    </row>
    <row r="187" spans="1:15" ht="81.75" customHeight="1" x14ac:dyDescent="0.2">
      <c r="A187" s="259" t="s">
        <v>942</v>
      </c>
      <c r="B187" s="252" t="s">
        <v>130</v>
      </c>
      <c r="C187" s="252" t="s">
        <v>202</v>
      </c>
      <c r="D187" s="252" t="s">
        <v>192</v>
      </c>
      <c r="E187" s="251" t="s">
        <v>778</v>
      </c>
      <c r="F187" s="252" t="s">
        <v>77</v>
      </c>
      <c r="G187" s="257">
        <v>199176</v>
      </c>
      <c r="H187" s="257">
        <v>2155.9</v>
      </c>
      <c r="I187" s="257">
        <v>72625.899999999994</v>
      </c>
      <c r="J187" s="257">
        <v>9785.2000000000007</v>
      </c>
      <c r="K187" s="257">
        <f t="shared" si="103"/>
        <v>82411.099999999991</v>
      </c>
      <c r="L187" s="257">
        <v>201929.4</v>
      </c>
      <c r="M187" s="257">
        <v>-201929.4</v>
      </c>
      <c r="N187" s="257">
        <f t="shared" si="104"/>
        <v>0</v>
      </c>
      <c r="O187" s="257">
        <v>0</v>
      </c>
    </row>
    <row r="188" spans="1:15" ht="33.75" customHeight="1" x14ac:dyDescent="0.2">
      <c r="A188" s="259" t="s">
        <v>940</v>
      </c>
      <c r="B188" s="252" t="s">
        <v>130</v>
      </c>
      <c r="C188" s="252" t="s">
        <v>202</v>
      </c>
      <c r="D188" s="252" t="s">
        <v>192</v>
      </c>
      <c r="E188" s="251" t="s">
        <v>774</v>
      </c>
      <c r="F188" s="252"/>
      <c r="G188" s="257">
        <v>1482.1</v>
      </c>
      <c r="H188" s="257">
        <v>294.46999999999997</v>
      </c>
      <c r="I188" s="257">
        <v>1330.2</v>
      </c>
      <c r="J188" s="257">
        <f t="shared" ref="J188" si="116">J189+J190</f>
        <v>1481.32</v>
      </c>
      <c r="K188" s="257">
        <f>L189+L190</f>
        <v>1880</v>
      </c>
      <c r="L188" s="257">
        <f>L189+L190</f>
        <v>1880</v>
      </c>
      <c r="M188" s="257">
        <f t="shared" ref="M188:O188" si="117">M189+M190</f>
        <v>-1880</v>
      </c>
      <c r="N188" s="257">
        <f t="shared" si="117"/>
        <v>0</v>
      </c>
      <c r="O188" s="257">
        <f t="shared" si="117"/>
        <v>0</v>
      </c>
    </row>
    <row r="189" spans="1:15" ht="20.25" customHeight="1" x14ac:dyDescent="0.2">
      <c r="A189" s="259" t="s">
        <v>78</v>
      </c>
      <c r="B189" s="252" t="s">
        <v>130</v>
      </c>
      <c r="C189" s="252" t="s">
        <v>202</v>
      </c>
      <c r="D189" s="252" t="s">
        <v>192</v>
      </c>
      <c r="E189" s="251" t="s">
        <v>774</v>
      </c>
      <c r="F189" s="252" t="s">
        <v>79</v>
      </c>
      <c r="G189" s="257">
        <v>1455.1</v>
      </c>
      <c r="H189" s="257">
        <v>303.7</v>
      </c>
      <c r="I189" s="257">
        <v>1316.9</v>
      </c>
      <c r="J189" s="257">
        <v>1466.5</v>
      </c>
      <c r="K189" s="257">
        <f>I189+J189</f>
        <v>2783.4</v>
      </c>
      <c r="L189" s="257">
        <v>1861.2</v>
      </c>
      <c r="M189" s="257">
        <v>-1861.2</v>
      </c>
      <c r="N189" s="257">
        <f>L189+M189</f>
        <v>0</v>
      </c>
      <c r="O189" s="257">
        <v>0</v>
      </c>
    </row>
    <row r="190" spans="1:15" ht="18.75" customHeight="1" x14ac:dyDescent="0.2">
      <c r="A190" s="259" t="s">
        <v>1071</v>
      </c>
      <c r="B190" s="252" t="s">
        <v>130</v>
      </c>
      <c r="C190" s="252" t="s">
        <v>202</v>
      </c>
      <c r="D190" s="252" t="s">
        <v>192</v>
      </c>
      <c r="E190" s="251" t="s">
        <v>774</v>
      </c>
      <c r="F190" s="252" t="s">
        <v>79</v>
      </c>
      <c r="G190" s="257">
        <v>27</v>
      </c>
      <c r="H190" s="257">
        <v>-9.23</v>
      </c>
      <c r="I190" s="257">
        <v>13.3</v>
      </c>
      <c r="J190" s="257">
        <v>14.82</v>
      </c>
      <c r="K190" s="257">
        <f>I190+J190</f>
        <v>28.12</v>
      </c>
      <c r="L190" s="257">
        <v>18.8</v>
      </c>
      <c r="M190" s="257">
        <v>-18.8</v>
      </c>
      <c r="N190" s="257">
        <f t="shared" ref="N190" si="118">L190+M190</f>
        <v>0</v>
      </c>
      <c r="O190" s="257">
        <v>0</v>
      </c>
    </row>
    <row r="191" spans="1:15" ht="48" customHeight="1" x14ac:dyDescent="0.2">
      <c r="A191" s="259" t="s">
        <v>1238</v>
      </c>
      <c r="B191" s="252" t="s">
        <v>130</v>
      </c>
      <c r="C191" s="252" t="s">
        <v>202</v>
      </c>
      <c r="D191" s="252" t="s">
        <v>192</v>
      </c>
      <c r="E191" s="251" t="s">
        <v>1246</v>
      </c>
      <c r="F191" s="252"/>
      <c r="G191" s="257">
        <v>0</v>
      </c>
      <c r="H191" s="257">
        <v>2075.25</v>
      </c>
      <c r="I191" s="257">
        <v>2075.25</v>
      </c>
      <c r="J191" s="257">
        <f t="shared" ref="J191" si="119">J192+J193</f>
        <v>1233.9499999999998</v>
      </c>
      <c r="K191" s="257">
        <f>L192+L193</f>
        <v>2861.12</v>
      </c>
      <c r="L191" s="257">
        <f>L192+L193</f>
        <v>2861.12</v>
      </c>
      <c r="M191" s="257">
        <f t="shared" ref="M191:O191" si="120">M192+M193</f>
        <v>-2861.12</v>
      </c>
      <c r="N191" s="257">
        <f t="shared" si="120"/>
        <v>0</v>
      </c>
      <c r="O191" s="257">
        <f t="shared" si="120"/>
        <v>0</v>
      </c>
    </row>
    <row r="192" spans="1:15" ht="24.75" customHeight="1" x14ac:dyDescent="0.2">
      <c r="A192" s="259" t="s">
        <v>78</v>
      </c>
      <c r="B192" s="252" t="s">
        <v>130</v>
      </c>
      <c r="C192" s="252" t="s">
        <v>202</v>
      </c>
      <c r="D192" s="252" t="s">
        <v>192</v>
      </c>
      <c r="E192" s="251" t="s">
        <v>1142</v>
      </c>
      <c r="F192" s="252" t="s">
        <v>79</v>
      </c>
      <c r="G192" s="257">
        <v>0</v>
      </c>
      <c r="H192" s="257">
        <v>2054.5</v>
      </c>
      <c r="I192" s="257">
        <v>2054.5</v>
      </c>
      <c r="J192" s="257">
        <v>1221.5999999999999</v>
      </c>
      <c r="K192" s="257">
        <f>I192+J192</f>
        <v>3276.1</v>
      </c>
      <c r="L192" s="257">
        <v>2832.5</v>
      </c>
      <c r="M192" s="257">
        <v>-2832.5</v>
      </c>
      <c r="N192" s="257">
        <f>L192+M192</f>
        <v>0</v>
      </c>
      <c r="O192" s="257">
        <v>0</v>
      </c>
    </row>
    <row r="193" spans="1:15" ht="24.75" customHeight="1" x14ac:dyDescent="0.2">
      <c r="A193" s="259" t="s">
        <v>1071</v>
      </c>
      <c r="B193" s="252" t="s">
        <v>130</v>
      </c>
      <c r="C193" s="252" t="s">
        <v>202</v>
      </c>
      <c r="D193" s="252" t="s">
        <v>192</v>
      </c>
      <c r="E193" s="251" t="s">
        <v>1142</v>
      </c>
      <c r="F193" s="252" t="s">
        <v>79</v>
      </c>
      <c r="G193" s="257">
        <v>0</v>
      </c>
      <c r="H193" s="257">
        <v>20.75</v>
      </c>
      <c r="I193" s="257">
        <v>20.75</v>
      </c>
      <c r="J193" s="257">
        <v>12.35</v>
      </c>
      <c r="K193" s="257">
        <f>I193+J193</f>
        <v>33.1</v>
      </c>
      <c r="L193" s="257">
        <v>28.62</v>
      </c>
      <c r="M193" s="257">
        <v>-28.62</v>
      </c>
      <c r="N193" s="257">
        <f>L193+M193</f>
        <v>0</v>
      </c>
      <c r="O193" s="257">
        <v>0</v>
      </c>
    </row>
    <row r="194" spans="1:15" ht="18.75" customHeight="1" x14ac:dyDescent="0.2">
      <c r="A194" s="259" t="s">
        <v>497</v>
      </c>
      <c r="B194" s="252" t="s">
        <v>130</v>
      </c>
      <c r="C194" s="252" t="s">
        <v>202</v>
      </c>
      <c r="D194" s="252" t="s">
        <v>192</v>
      </c>
      <c r="E194" s="251" t="s">
        <v>783</v>
      </c>
      <c r="F194" s="252" t="s">
        <v>94</v>
      </c>
      <c r="G194" s="257">
        <v>150</v>
      </c>
      <c r="H194" s="257">
        <v>0</v>
      </c>
      <c r="I194" s="257">
        <v>0</v>
      </c>
      <c r="J194" s="257">
        <v>150</v>
      </c>
      <c r="K194" s="257">
        <f t="shared" ref="K194" si="121">I194+J194</f>
        <v>150</v>
      </c>
      <c r="L194" s="257">
        <v>150</v>
      </c>
      <c r="M194" s="257">
        <v>-150</v>
      </c>
      <c r="N194" s="257">
        <f>L194+M194</f>
        <v>0</v>
      </c>
      <c r="O194" s="257">
        <v>0</v>
      </c>
    </row>
    <row r="195" spans="1:15" ht="33" hidden="1" customHeight="1" x14ac:dyDescent="0.2">
      <c r="A195" s="259" t="s">
        <v>1119</v>
      </c>
      <c r="B195" s="252" t="s">
        <v>130</v>
      </c>
      <c r="C195" s="252" t="s">
        <v>202</v>
      </c>
      <c r="D195" s="252" t="s">
        <v>192</v>
      </c>
      <c r="E195" s="251" t="s">
        <v>1120</v>
      </c>
      <c r="F195" s="252"/>
      <c r="G195" s="257">
        <v>2181.1200000000003</v>
      </c>
      <c r="H195" s="257">
        <v>-1570.92</v>
      </c>
      <c r="I195" s="257">
        <v>610.70000000000005</v>
      </c>
      <c r="J195" s="257">
        <f t="shared" ref="J195" si="122">J196+J197</f>
        <v>-610.70000000000005</v>
      </c>
      <c r="K195" s="257">
        <f>L196+L197</f>
        <v>0</v>
      </c>
      <c r="L195" s="257">
        <f t="shared" ref="L195" si="123">L196+L197</f>
        <v>0</v>
      </c>
      <c r="M195" s="257">
        <f t="shared" ref="M195:N195" si="124">M196+M197</f>
        <v>0</v>
      </c>
      <c r="N195" s="257">
        <f t="shared" si="124"/>
        <v>0</v>
      </c>
      <c r="O195" s="257">
        <f t="shared" ref="O195" si="125">O196+O197</f>
        <v>0</v>
      </c>
    </row>
    <row r="196" spans="1:15" ht="18.75" hidden="1" customHeight="1" x14ac:dyDescent="0.2">
      <c r="A196" s="259" t="s">
        <v>78</v>
      </c>
      <c r="B196" s="252" t="s">
        <v>130</v>
      </c>
      <c r="C196" s="252" t="s">
        <v>202</v>
      </c>
      <c r="D196" s="252" t="s">
        <v>192</v>
      </c>
      <c r="E196" s="251" t="s">
        <v>1120</v>
      </c>
      <c r="F196" s="252" t="s">
        <v>79</v>
      </c>
      <c r="G196" s="257">
        <v>2159.3000000000002</v>
      </c>
      <c r="H196" s="257">
        <v>-1555.2</v>
      </c>
      <c r="I196" s="257">
        <v>604.6</v>
      </c>
      <c r="J196" s="257">
        <v>-604.6</v>
      </c>
      <c r="K196" s="257">
        <f>I196+J196</f>
        <v>0</v>
      </c>
      <c r="L196" s="257">
        <v>0</v>
      </c>
      <c r="M196" s="257">
        <v>0</v>
      </c>
      <c r="N196" s="257">
        <f>L196+M196</f>
        <v>0</v>
      </c>
      <c r="O196" s="257">
        <v>0</v>
      </c>
    </row>
    <row r="197" spans="1:15" ht="18.75" hidden="1" customHeight="1" x14ac:dyDescent="0.2">
      <c r="A197" s="259" t="s">
        <v>1121</v>
      </c>
      <c r="B197" s="252" t="s">
        <v>130</v>
      </c>
      <c r="C197" s="252" t="s">
        <v>202</v>
      </c>
      <c r="D197" s="252" t="s">
        <v>192</v>
      </c>
      <c r="E197" s="251" t="s">
        <v>1120</v>
      </c>
      <c r="F197" s="252" t="s">
        <v>79</v>
      </c>
      <c r="G197" s="257">
        <v>21.82</v>
      </c>
      <c r="H197" s="257">
        <v>-15.72</v>
      </c>
      <c r="I197" s="257">
        <v>6.1</v>
      </c>
      <c r="J197" s="257">
        <v>-6.1</v>
      </c>
      <c r="K197" s="257">
        <f>I197+J197</f>
        <v>0</v>
      </c>
      <c r="L197" s="257">
        <v>0</v>
      </c>
      <c r="M197" s="257">
        <v>0</v>
      </c>
      <c r="N197" s="257">
        <f>L197+M197</f>
        <v>0</v>
      </c>
      <c r="O197" s="257">
        <v>0</v>
      </c>
    </row>
    <row r="198" spans="1:15" ht="47.25" hidden="1" customHeight="1" x14ac:dyDescent="0.2">
      <c r="A198" s="259" t="s">
        <v>1150</v>
      </c>
      <c r="B198" s="252" t="s">
        <v>130</v>
      </c>
      <c r="C198" s="252" t="s">
        <v>202</v>
      </c>
      <c r="D198" s="252" t="s">
        <v>192</v>
      </c>
      <c r="E198" s="251" t="s">
        <v>1164</v>
      </c>
      <c r="F198" s="252"/>
      <c r="G198" s="257">
        <v>0</v>
      </c>
      <c r="H198" s="257">
        <v>20899</v>
      </c>
      <c r="I198" s="257">
        <v>0</v>
      </c>
      <c r="J198" s="257">
        <f t="shared" ref="J198:O198" si="126">J199</f>
        <v>0</v>
      </c>
      <c r="K198" s="257">
        <f>L199</f>
        <v>0</v>
      </c>
      <c r="L198" s="257">
        <f t="shared" si="126"/>
        <v>0</v>
      </c>
      <c r="M198" s="257">
        <f t="shared" si="126"/>
        <v>0</v>
      </c>
      <c r="N198" s="257">
        <f t="shared" si="126"/>
        <v>0</v>
      </c>
      <c r="O198" s="257">
        <f t="shared" si="126"/>
        <v>0</v>
      </c>
    </row>
    <row r="199" spans="1:15" ht="18.75" hidden="1" customHeight="1" x14ac:dyDescent="0.2">
      <c r="A199" s="259" t="s">
        <v>78</v>
      </c>
      <c r="B199" s="252" t="s">
        <v>130</v>
      </c>
      <c r="C199" s="252" t="s">
        <v>202</v>
      </c>
      <c r="D199" s="252" t="s">
        <v>192</v>
      </c>
      <c r="E199" s="251" t="s">
        <v>1164</v>
      </c>
      <c r="F199" s="252" t="s">
        <v>79</v>
      </c>
      <c r="G199" s="257">
        <v>0</v>
      </c>
      <c r="H199" s="257">
        <v>20899</v>
      </c>
      <c r="I199" s="257">
        <v>0</v>
      </c>
      <c r="J199" s="257">
        <v>0</v>
      </c>
      <c r="K199" s="257">
        <f>I199+J199</f>
        <v>0</v>
      </c>
      <c r="L199" s="257">
        <v>0</v>
      </c>
      <c r="M199" s="257">
        <v>0</v>
      </c>
      <c r="N199" s="257">
        <f>L199+M199</f>
        <v>0</v>
      </c>
      <c r="O199" s="257">
        <v>0</v>
      </c>
    </row>
    <row r="200" spans="1:15" ht="36" customHeight="1" x14ac:dyDescent="0.2">
      <c r="A200" s="259" t="s">
        <v>1159</v>
      </c>
      <c r="B200" s="252" t="s">
        <v>130</v>
      </c>
      <c r="C200" s="252" t="s">
        <v>202</v>
      </c>
      <c r="D200" s="252" t="s">
        <v>192</v>
      </c>
      <c r="E200" s="251" t="s">
        <v>1160</v>
      </c>
      <c r="F200" s="252"/>
      <c r="G200" s="257">
        <v>0</v>
      </c>
      <c r="H200" s="257">
        <v>14310</v>
      </c>
      <c r="I200" s="257">
        <v>14334</v>
      </c>
      <c r="J200" s="257">
        <f t="shared" ref="J200" si="127">J201+J202</f>
        <v>28.119999999999997</v>
      </c>
      <c r="K200" s="257">
        <f>L201+L202</f>
        <v>13967.17</v>
      </c>
      <c r="L200" s="257">
        <f t="shared" ref="L200" si="128">L201+L202</f>
        <v>13967.17</v>
      </c>
      <c r="M200" s="257">
        <f t="shared" ref="M200:N200" si="129">M201+M202</f>
        <v>-13967.17</v>
      </c>
      <c r="N200" s="257">
        <f t="shared" si="129"/>
        <v>0</v>
      </c>
      <c r="O200" s="257">
        <f t="shared" ref="O200" si="130">O201+O202</f>
        <v>0</v>
      </c>
    </row>
    <row r="201" spans="1:15" ht="18.75" customHeight="1" x14ac:dyDescent="0.2">
      <c r="A201" s="259" t="s">
        <v>78</v>
      </c>
      <c r="B201" s="252" t="s">
        <v>130</v>
      </c>
      <c r="C201" s="252" t="s">
        <v>202</v>
      </c>
      <c r="D201" s="252" t="s">
        <v>192</v>
      </c>
      <c r="E201" s="251" t="s">
        <v>1160</v>
      </c>
      <c r="F201" s="252" t="s">
        <v>79</v>
      </c>
      <c r="G201" s="257">
        <v>0</v>
      </c>
      <c r="H201" s="257">
        <v>14166.9</v>
      </c>
      <c r="I201" s="257">
        <v>14190.6</v>
      </c>
      <c r="J201" s="257">
        <v>27.9</v>
      </c>
      <c r="K201" s="257">
        <f>I201+J201</f>
        <v>14218.5</v>
      </c>
      <c r="L201" s="257">
        <v>13827.5</v>
      </c>
      <c r="M201" s="257">
        <v>-13827.5</v>
      </c>
      <c r="N201" s="257">
        <f>L201+M201</f>
        <v>0</v>
      </c>
      <c r="O201" s="257">
        <v>0</v>
      </c>
    </row>
    <row r="202" spans="1:15" ht="18.75" customHeight="1" x14ac:dyDescent="0.2">
      <c r="A202" s="259" t="s">
        <v>1121</v>
      </c>
      <c r="B202" s="252" t="s">
        <v>130</v>
      </c>
      <c r="C202" s="252" t="s">
        <v>202</v>
      </c>
      <c r="D202" s="252" t="s">
        <v>192</v>
      </c>
      <c r="E202" s="251" t="s">
        <v>1160</v>
      </c>
      <c r="F202" s="252" t="s">
        <v>79</v>
      </c>
      <c r="G202" s="257">
        <v>0</v>
      </c>
      <c r="H202" s="257">
        <v>143.1</v>
      </c>
      <c r="I202" s="257">
        <v>143.4</v>
      </c>
      <c r="J202" s="257">
        <v>0.22</v>
      </c>
      <c r="K202" s="257">
        <f>I202+J202</f>
        <v>143.62</v>
      </c>
      <c r="L202" s="257">
        <v>139.66999999999999</v>
      </c>
      <c r="M202" s="257">
        <v>-139.66999999999999</v>
      </c>
      <c r="N202" s="257">
        <f>L202+M202</f>
        <v>0</v>
      </c>
      <c r="O202" s="257">
        <v>0</v>
      </c>
    </row>
    <row r="203" spans="1:15" ht="41.25" customHeight="1" x14ac:dyDescent="0.2">
      <c r="A203" s="259" t="s">
        <v>1161</v>
      </c>
      <c r="B203" s="252" t="s">
        <v>130</v>
      </c>
      <c r="C203" s="252" t="s">
        <v>202</v>
      </c>
      <c r="D203" s="252" t="s">
        <v>192</v>
      </c>
      <c r="E203" s="251" t="s">
        <v>1162</v>
      </c>
      <c r="F203" s="252"/>
      <c r="G203" s="257">
        <v>0</v>
      </c>
      <c r="H203" s="257">
        <v>25000</v>
      </c>
      <c r="I203" s="257">
        <v>25000</v>
      </c>
      <c r="J203" s="257">
        <f t="shared" ref="J203" si="131">J204</f>
        <v>-127.8</v>
      </c>
      <c r="K203" s="257">
        <f>L204</f>
        <v>27095.8</v>
      </c>
      <c r="L203" s="257">
        <f>L204</f>
        <v>27095.8</v>
      </c>
      <c r="M203" s="257">
        <f t="shared" ref="M203:O203" si="132">M204</f>
        <v>-27095.8</v>
      </c>
      <c r="N203" s="257">
        <f t="shared" si="132"/>
        <v>0</v>
      </c>
      <c r="O203" s="257">
        <f t="shared" si="132"/>
        <v>0</v>
      </c>
    </row>
    <row r="204" spans="1:15" ht="18.75" customHeight="1" x14ac:dyDescent="0.2">
      <c r="A204" s="259" t="s">
        <v>78</v>
      </c>
      <c r="B204" s="252" t="s">
        <v>130</v>
      </c>
      <c r="C204" s="252" t="s">
        <v>202</v>
      </c>
      <c r="D204" s="252" t="s">
        <v>192</v>
      </c>
      <c r="E204" s="251" t="s">
        <v>1162</v>
      </c>
      <c r="F204" s="252" t="s">
        <v>79</v>
      </c>
      <c r="G204" s="257">
        <v>0</v>
      </c>
      <c r="H204" s="257">
        <v>25000</v>
      </c>
      <c r="I204" s="257">
        <v>25000</v>
      </c>
      <c r="J204" s="257">
        <v>-127.8</v>
      </c>
      <c r="K204" s="257">
        <f>I204+J204</f>
        <v>24872.2</v>
      </c>
      <c r="L204" s="257">
        <v>27095.8</v>
      </c>
      <c r="M204" s="257">
        <v>-27095.8</v>
      </c>
      <c r="N204" s="257">
        <f>L204+M204</f>
        <v>0</v>
      </c>
      <c r="O204" s="257">
        <v>0</v>
      </c>
    </row>
    <row r="205" spans="1:15" ht="35.25" customHeight="1" x14ac:dyDescent="0.2">
      <c r="A205" s="259" t="s">
        <v>1211</v>
      </c>
      <c r="B205" s="252" t="s">
        <v>130</v>
      </c>
      <c r="C205" s="252" t="s">
        <v>202</v>
      </c>
      <c r="D205" s="252" t="s">
        <v>192</v>
      </c>
      <c r="E205" s="251" t="s">
        <v>1210</v>
      </c>
      <c r="F205" s="252"/>
      <c r="G205" s="257">
        <v>0</v>
      </c>
      <c r="H205" s="257">
        <v>14310</v>
      </c>
      <c r="I205" s="257">
        <v>14334</v>
      </c>
      <c r="J205" s="257">
        <f t="shared" ref="J205" si="133">J206+J207</f>
        <v>28.119999999999997</v>
      </c>
      <c r="K205" s="257">
        <f>L206+L207</f>
        <v>27574.65</v>
      </c>
      <c r="L205" s="257">
        <f t="shared" ref="L205" si="134">L206+L207</f>
        <v>27574.65</v>
      </c>
      <c r="M205" s="257">
        <f t="shared" ref="M205:O205" si="135">M206+M207</f>
        <v>-27574.65</v>
      </c>
      <c r="N205" s="257">
        <f t="shared" si="135"/>
        <v>0</v>
      </c>
      <c r="O205" s="257">
        <f t="shared" si="135"/>
        <v>0</v>
      </c>
    </row>
    <row r="206" spans="1:15" ht="20.25" customHeight="1" x14ac:dyDescent="0.2">
      <c r="A206" s="259" t="s">
        <v>78</v>
      </c>
      <c r="B206" s="252" t="s">
        <v>130</v>
      </c>
      <c r="C206" s="252" t="s">
        <v>202</v>
      </c>
      <c r="D206" s="252" t="s">
        <v>192</v>
      </c>
      <c r="E206" s="251" t="s">
        <v>1210</v>
      </c>
      <c r="F206" s="252" t="s">
        <v>79</v>
      </c>
      <c r="G206" s="257">
        <v>0</v>
      </c>
      <c r="H206" s="257">
        <v>14166.9</v>
      </c>
      <c r="I206" s="257">
        <v>14190.6</v>
      </c>
      <c r="J206" s="257">
        <v>27.9</v>
      </c>
      <c r="K206" s="257">
        <f>I206+J206</f>
        <v>14218.5</v>
      </c>
      <c r="L206" s="257">
        <v>27298.9</v>
      </c>
      <c r="M206" s="257">
        <v>-27298.9</v>
      </c>
      <c r="N206" s="257">
        <f>L206+M206</f>
        <v>0</v>
      </c>
      <c r="O206" s="257">
        <v>0</v>
      </c>
    </row>
    <row r="207" spans="1:15" ht="20.25" customHeight="1" x14ac:dyDescent="0.2">
      <c r="A207" s="259" t="s">
        <v>1121</v>
      </c>
      <c r="B207" s="252" t="s">
        <v>130</v>
      </c>
      <c r="C207" s="252" t="s">
        <v>202</v>
      </c>
      <c r="D207" s="252" t="s">
        <v>192</v>
      </c>
      <c r="E207" s="251" t="s">
        <v>1210</v>
      </c>
      <c r="F207" s="252" t="s">
        <v>79</v>
      </c>
      <c r="G207" s="257">
        <v>0</v>
      </c>
      <c r="H207" s="257">
        <v>143.1</v>
      </c>
      <c r="I207" s="257">
        <v>143.4</v>
      </c>
      <c r="J207" s="257">
        <v>0.22</v>
      </c>
      <c r="K207" s="257">
        <f>I207+J207</f>
        <v>143.62</v>
      </c>
      <c r="L207" s="257">
        <v>275.75</v>
      </c>
      <c r="M207" s="257">
        <v>-275.75</v>
      </c>
      <c r="N207" s="257">
        <f>L207+M207</f>
        <v>0</v>
      </c>
      <c r="O207" s="257">
        <v>0</v>
      </c>
    </row>
    <row r="208" spans="1:15" ht="35.25" customHeight="1" x14ac:dyDescent="0.2">
      <c r="A208" s="259" t="s">
        <v>1212</v>
      </c>
      <c r="B208" s="252" t="s">
        <v>130</v>
      </c>
      <c r="C208" s="252" t="s">
        <v>202</v>
      </c>
      <c r="D208" s="252" t="s">
        <v>192</v>
      </c>
      <c r="E208" s="251" t="s">
        <v>1210</v>
      </c>
      <c r="F208" s="252"/>
      <c r="G208" s="257">
        <v>0</v>
      </c>
      <c r="H208" s="257">
        <v>14310</v>
      </c>
      <c r="I208" s="257">
        <v>14334</v>
      </c>
      <c r="J208" s="257">
        <v>28.119999999999997</v>
      </c>
      <c r="K208" s="257">
        <v>0</v>
      </c>
      <c r="L208" s="257">
        <f t="shared" ref="L208" si="136">L209+L210</f>
        <v>23252.02</v>
      </c>
      <c r="M208" s="257">
        <f t="shared" ref="M208:O208" si="137">M209+M210</f>
        <v>-23252.02</v>
      </c>
      <c r="N208" s="257">
        <f t="shared" si="137"/>
        <v>0</v>
      </c>
      <c r="O208" s="257">
        <f t="shared" si="137"/>
        <v>0</v>
      </c>
    </row>
    <row r="209" spans="1:15" ht="18" customHeight="1" x14ac:dyDescent="0.2">
      <c r="A209" s="259" t="s">
        <v>78</v>
      </c>
      <c r="B209" s="252" t="s">
        <v>130</v>
      </c>
      <c r="C209" s="252" t="s">
        <v>202</v>
      </c>
      <c r="D209" s="252" t="s">
        <v>192</v>
      </c>
      <c r="E209" s="251" t="s">
        <v>1210</v>
      </c>
      <c r="F209" s="252" t="s">
        <v>79</v>
      </c>
      <c r="G209" s="257">
        <v>0</v>
      </c>
      <c r="H209" s="257">
        <v>14166.9</v>
      </c>
      <c r="I209" s="257">
        <v>14190.6</v>
      </c>
      <c r="J209" s="257">
        <v>27.9</v>
      </c>
      <c r="K209" s="257">
        <v>14218.5</v>
      </c>
      <c r="L209" s="257">
        <v>23019.5</v>
      </c>
      <c r="M209" s="257">
        <v>-23019.5</v>
      </c>
      <c r="N209" s="257">
        <f>L209+M209</f>
        <v>0</v>
      </c>
      <c r="O209" s="257">
        <v>0</v>
      </c>
    </row>
    <row r="210" spans="1:15" ht="18" customHeight="1" x14ac:dyDescent="0.2">
      <c r="A210" s="259" t="s">
        <v>1121</v>
      </c>
      <c r="B210" s="252" t="s">
        <v>130</v>
      </c>
      <c r="C210" s="252" t="s">
        <v>202</v>
      </c>
      <c r="D210" s="252" t="s">
        <v>192</v>
      </c>
      <c r="E210" s="251" t="s">
        <v>1210</v>
      </c>
      <c r="F210" s="252" t="s">
        <v>79</v>
      </c>
      <c r="G210" s="257">
        <v>0</v>
      </c>
      <c r="H210" s="257">
        <v>143.1</v>
      </c>
      <c r="I210" s="257">
        <v>143.4</v>
      </c>
      <c r="J210" s="257">
        <v>0.22</v>
      </c>
      <c r="K210" s="257">
        <v>143.62</v>
      </c>
      <c r="L210" s="257">
        <v>232.52</v>
      </c>
      <c r="M210" s="257">
        <v>-232.52</v>
      </c>
      <c r="N210" s="257">
        <f>L210+M210</f>
        <v>0</v>
      </c>
      <c r="O210" s="257">
        <v>0</v>
      </c>
    </row>
    <row r="211" spans="1:15" s="430" customFormat="1" ht="21.75" customHeight="1" x14ac:dyDescent="0.2">
      <c r="A211" s="462" t="s">
        <v>850</v>
      </c>
      <c r="B211" s="250" t="s">
        <v>130</v>
      </c>
      <c r="C211" s="250" t="s">
        <v>202</v>
      </c>
      <c r="D211" s="250" t="s">
        <v>194</v>
      </c>
      <c r="E211" s="253"/>
      <c r="F211" s="250"/>
      <c r="G211" s="275">
        <v>26693</v>
      </c>
      <c r="H211" s="275">
        <v>3418.2</v>
      </c>
      <c r="I211" s="275">
        <v>22853</v>
      </c>
      <c r="J211" s="275">
        <f t="shared" ref="J211" si="138">J212+J234+J233</f>
        <v>-1322</v>
      </c>
      <c r="K211" s="275">
        <f>L212+L234+L233</f>
        <v>7663</v>
      </c>
      <c r="L211" s="275">
        <f t="shared" ref="L211" si="139">L212+L234+L233</f>
        <v>7663</v>
      </c>
      <c r="M211" s="275">
        <f t="shared" ref="M211:N211" si="140">M212+M234+M233</f>
        <v>-2320</v>
      </c>
      <c r="N211" s="275">
        <f t="shared" si="140"/>
        <v>5343</v>
      </c>
      <c r="O211" s="275">
        <f t="shared" ref="O211" si="141">O212+O234+O233</f>
        <v>5343</v>
      </c>
    </row>
    <row r="212" spans="1:15" ht="29.25" customHeight="1" x14ac:dyDescent="0.2">
      <c r="A212" s="259" t="s">
        <v>901</v>
      </c>
      <c r="B212" s="252" t="s">
        <v>130</v>
      </c>
      <c r="C212" s="252" t="s">
        <v>202</v>
      </c>
      <c r="D212" s="252" t="s">
        <v>194</v>
      </c>
      <c r="E212" s="251" t="s">
        <v>918</v>
      </c>
      <c r="F212" s="252"/>
      <c r="G212" s="257">
        <v>26693</v>
      </c>
      <c r="H212" s="257">
        <v>3418.2</v>
      </c>
      <c r="I212" s="257">
        <v>22853</v>
      </c>
      <c r="J212" s="257">
        <f t="shared" ref="J212" si="142">J214+J220+J213</f>
        <v>-1322</v>
      </c>
      <c r="K212" s="257">
        <f>L214+L220+L213</f>
        <v>7663</v>
      </c>
      <c r="L212" s="257">
        <f t="shared" ref="L212" si="143">L214+L220+L213</f>
        <v>7663</v>
      </c>
      <c r="M212" s="257">
        <f t="shared" ref="M212:N212" si="144">M214+M220+M213</f>
        <v>-2320</v>
      </c>
      <c r="N212" s="257">
        <f t="shared" si="144"/>
        <v>5343</v>
      </c>
      <c r="O212" s="257">
        <f t="shared" ref="O212" si="145">O214+O220+O213</f>
        <v>5343</v>
      </c>
    </row>
    <row r="213" spans="1:15" ht="21" hidden="1" customHeight="1" x14ac:dyDescent="0.2">
      <c r="A213" s="259" t="s">
        <v>1135</v>
      </c>
      <c r="B213" s="252" t="s">
        <v>130</v>
      </c>
      <c r="C213" s="252" t="s">
        <v>202</v>
      </c>
      <c r="D213" s="252" t="s">
        <v>194</v>
      </c>
      <c r="E213" s="356" t="s">
        <v>918</v>
      </c>
      <c r="F213" s="252" t="s">
        <v>1136</v>
      </c>
      <c r="G213" s="257">
        <v>0</v>
      </c>
      <c r="H213" s="257">
        <v>8850.4</v>
      </c>
      <c r="I213" s="257">
        <v>0</v>
      </c>
      <c r="J213" s="257">
        <v>0</v>
      </c>
      <c r="K213" s="257">
        <f>I213+J213</f>
        <v>0</v>
      </c>
      <c r="L213" s="257">
        <v>0</v>
      </c>
      <c r="M213" s="257">
        <v>0</v>
      </c>
      <c r="N213" s="257">
        <f>L213+M213</f>
        <v>0</v>
      </c>
      <c r="O213" s="257">
        <v>0</v>
      </c>
    </row>
    <row r="214" spans="1:15" ht="24" customHeight="1" x14ac:dyDescent="0.2">
      <c r="A214" s="462" t="s">
        <v>1075</v>
      </c>
      <c r="B214" s="252" t="s">
        <v>130</v>
      </c>
      <c r="C214" s="252" t="s">
        <v>202</v>
      </c>
      <c r="D214" s="252" t="s">
        <v>194</v>
      </c>
      <c r="E214" s="251" t="s">
        <v>782</v>
      </c>
      <c r="F214" s="252"/>
      <c r="G214" s="257">
        <v>7564</v>
      </c>
      <c r="H214" s="257">
        <v>-2491</v>
      </c>
      <c r="I214" s="257">
        <v>6264</v>
      </c>
      <c r="J214" s="257">
        <f t="shared" ref="J214" si="146">J215+J216+J217+J218+J219</f>
        <v>-921</v>
      </c>
      <c r="K214" s="257">
        <f>L215+L216+L217+L218+L219</f>
        <v>5343</v>
      </c>
      <c r="L214" s="257">
        <f t="shared" ref="L214" si="147">L215+L216+L217+L218+L219</f>
        <v>5343</v>
      </c>
      <c r="M214" s="257">
        <f t="shared" ref="M214:N214" si="148">M215+M216+M217+M218+M219</f>
        <v>0</v>
      </c>
      <c r="N214" s="257">
        <f t="shared" si="148"/>
        <v>5343</v>
      </c>
      <c r="O214" s="257">
        <f t="shared" ref="O214" si="149">O215+O216+O217+O218+O219</f>
        <v>5343</v>
      </c>
    </row>
    <row r="215" spans="1:15" ht="32.25" customHeight="1" x14ac:dyDescent="0.2">
      <c r="A215" s="259" t="s">
        <v>76</v>
      </c>
      <c r="B215" s="252" t="s">
        <v>130</v>
      </c>
      <c r="C215" s="252" t="s">
        <v>202</v>
      </c>
      <c r="D215" s="252" t="s">
        <v>194</v>
      </c>
      <c r="E215" s="251" t="s">
        <v>782</v>
      </c>
      <c r="F215" s="252" t="s">
        <v>77</v>
      </c>
      <c r="G215" s="257">
        <v>5714</v>
      </c>
      <c r="H215" s="257">
        <v>-2441</v>
      </c>
      <c r="I215" s="257">
        <v>5714</v>
      </c>
      <c r="J215" s="257">
        <v>-921</v>
      </c>
      <c r="K215" s="257">
        <f>I215+J215</f>
        <v>4793</v>
      </c>
      <c r="L215" s="257">
        <v>4793</v>
      </c>
      <c r="M215" s="257">
        <v>0</v>
      </c>
      <c r="N215" s="257">
        <f>L215+M215</f>
        <v>4793</v>
      </c>
      <c r="O215" s="257">
        <v>4793</v>
      </c>
    </row>
    <row r="216" spans="1:15" ht="27.75" hidden="1" customHeight="1" x14ac:dyDescent="0.2">
      <c r="A216" s="259" t="s">
        <v>76</v>
      </c>
      <c r="B216" s="252" t="s">
        <v>130</v>
      </c>
      <c r="C216" s="252" t="s">
        <v>202</v>
      </c>
      <c r="D216" s="252" t="s">
        <v>194</v>
      </c>
      <c r="E216" s="251" t="s">
        <v>1072</v>
      </c>
      <c r="F216" s="252" t="s">
        <v>77</v>
      </c>
      <c r="G216" s="257">
        <v>1300</v>
      </c>
      <c r="H216" s="257">
        <v>0</v>
      </c>
      <c r="I216" s="257">
        <v>0</v>
      </c>
      <c r="J216" s="257">
        <v>0</v>
      </c>
      <c r="K216" s="257">
        <f t="shared" ref="K216:K219" si="150">I216+J216</f>
        <v>0</v>
      </c>
      <c r="L216" s="257">
        <v>0</v>
      </c>
      <c r="M216" s="257">
        <v>0</v>
      </c>
      <c r="N216" s="257">
        <f>L216+M216</f>
        <v>0</v>
      </c>
      <c r="O216" s="257">
        <v>0</v>
      </c>
    </row>
    <row r="217" spans="1:15" ht="27.75" customHeight="1" x14ac:dyDescent="0.2">
      <c r="A217" s="259" t="s">
        <v>76</v>
      </c>
      <c r="B217" s="252" t="s">
        <v>130</v>
      </c>
      <c r="C217" s="252" t="s">
        <v>202</v>
      </c>
      <c r="D217" s="252" t="s">
        <v>194</v>
      </c>
      <c r="E217" s="251" t="s">
        <v>1073</v>
      </c>
      <c r="F217" s="252" t="s">
        <v>77</v>
      </c>
      <c r="G217" s="257">
        <v>300</v>
      </c>
      <c r="H217" s="257">
        <v>0</v>
      </c>
      <c r="I217" s="257">
        <v>300</v>
      </c>
      <c r="J217" s="257">
        <v>0</v>
      </c>
      <c r="K217" s="257">
        <f t="shared" si="150"/>
        <v>300</v>
      </c>
      <c r="L217" s="257">
        <v>300</v>
      </c>
      <c r="M217" s="257">
        <v>0</v>
      </c>
      <c r="N217" s="257">
        <f>L217+M217</f>
        <v>300</v>
      </c>
      <c r="O217" s="257">
        <v>300</v>
      </c>
    </row>
    <row r="218" spans="1:15" ht="30.75" customHeight="1" x14ac:dyDescent="0.2">
      <c r="A218" s="259" t="s">
        <v>1074</v>
      </c>
      <c r="B218" s="252" t="s">
        <v>130</v>
      </c>
      <c r="C218" s="252" t="s">
        <v>202</v>
      </c>
      <c r="D218" s="252" t="s">
        <v>194</v>
      </c>
      <c r="E218" s="251" t="s">
        <v>782</v>
      </c>
      <c r="F218" s="252" t="s">
        <v>79</v>
      </c>
      <c r="G218" s="257">
        <v>200</v>
      </c>
      <c r="H218" s="257">
        <v>-50</v>
      </c>
      <c r="I218" s="257">
        <v>200</v>
      </c>
      <c r="J218" s="257">
        <v>0</v>
      </c>
      <c r="K218" s="257">
        <f t="shared" si="150"/>
        <v>200</v>
      </c>
      <c r="L218" s="257">
        <v>200</v>
      </c>
      <c r="M218" s="257">
        <v>0</v>
      </c>
      <c r="N218" s="257">
        <f>L218+M218</f>
        <v>200</v>
      </c>
      <c r="O218" s="257">
        <v>200</v>
      </c>
    </row>
    <row r="219" spans="1:15" ht="21.75" customHeight="1" x14ac:dyDescent="0.2">
      <c r="A219" s="259" t="s">
        <v>723</v>
      </c>
      <c r="B219" s="252" t="s">
        <v>130</v>
      </c>
      <c r="C219" s="252" t="s">
        <v>202</v>
      </c>
      <c r="D219" s="252" t="s">
        <v>194</v>
      </c>
      <c r="E219" s="252" t="s">
        <v>820</v>
      </c>
      <c r="F219" s="252" t="s">
        <v>79</v>
      </c>
      <c r="G219" s="257">
        <v>50</v>
      </c>
      <c r="H219" s="257">
        <v>0</v>
      </c>
      <c r="I219" s="257">
        <v>50</v>
      </c>
      <c r="J219" s="257">
        <v>0</v>
      </c>
      <c r="K219" s="257">
        <f t="shared" si="150"/>
        <v>50</v>
      </c>
      <c r="L219" s="257">
        <v>50</v>
      </c>
      <c r="M219" s="257">
        <v>0</v>
      </c>
      <c r="N219" s="257">
        <f>L219+M219</f>
        <v>50</v>
      </c>
      <c r="O219" s="257">
        <v>50</v>
      </c>
    </row>
    <row r="220" spans="1:15" ht="22.5" customHeight="1" x14ac:dyDescent="0.2">
      <c r="A220" s="462" t="s">
        <v>1076</v>
      </c>
      <c r="B220" s="250" t="s">
        <v>130</v>
      </c>
      <c r="C220" s="250" t="s">
        <v>202</v>
      </c>
      <c r="D220" s="250" t="s">
        <v>194</v>
      </c>
      <c r="E220" s="253" t="s">
        <v>781</v>
      </c>
      <c r="F220" s="252"/>
      <c r="G220" s="257">
        <v>19129</v>
      </c>
      <c r="H220" s="257">
        <v>-2941.2</v>
      </c>
      <c r="I220" s="257">
        <v>16589</v>
      </c>
      <c r="J220" s="257">
        <f t="shared" ref="J220" si="151">J221+J222+J223+J224</f>
        <v>-401</v>
      </c>
      <c r="K220" s="257">
        <f>L221+L222+L223+L224</f>
        <v>2320</v>
      </c>
      <c r="L220" s="257">
        <f t="shared" ref="L220" si="152">L221+L222+L223+L224</f>
        <v>2320</v>
      </c>
      <c r="M220" s="257">
        <f t="shared" ref="M220:N220" si="153">M221+M222+M223+M224</f>
        <v>-2320</v>
      </c>
      <c r="N220" s="257">
        <f t="shared" si="153"/>
        <v>0</v>
      </c>
      <c r="O220" s="257">
        <f t="shared" ref="O220" si="154">O221+O222+O223+O224</f>
        <v>0</v>
      </c>
    </row>
    <row r="221" spans="1:15" ht="33.75" hidden="1" customHeight="1" x14ac:dyDescent="0.2">
      <c r="A221" s="259" t="s">
        <v>76</v>
      </c>
      <c r="B221" s="252" t="s">
        <v>130</v>
      </c>
      <c r="C221" s="252" t="s">
        <v>202</v>
      </c>
      <c r="D221" s="252" t="s">
        <v>194</v>
      </c>
      <c r="E221" s="251" t="s">
        <v>781</v>
      </c>
      <c r="F221" s="252" t="s">
        <v>77</v>
      </c>
      <c r="G221" s="257">
        <v>14269</v>
      </c>
      <c r="H221" s="257">
        <v>-4561.2</v>
      </c>
      <c r="I221" s="257">
        <v>14269</v>
      </c>
      <c r="J221" s="257">
        <v>-401</v>
      </c>
      <c r="K221" s="257">
        <f t="shared" ref="K221:L234" si="155">I221+J221</f>
        <v>13868</v>
      </c>
      <c r="L221" s="257">
        <v>0</v>
      </c>
      <c r="M221" s="257">
        <v>0</v>
      </c>
      <c r="N221" s="257">
        <f t="shared" ref="N221:N234" si="156">L221+M221</f>
        <v>0</v>
      </c>
      <c r="O221" s="257">
        <v>0</v>
      </c>
    </row>
    <row r="222" spans="1:15" ht="33.75" hidden="1" customHeight="1" x14ac:dyDescent="0.2">
      <c r="A222" s="259" t="s">
        <v>76</v>
      </c>
      <c r="B222" s="252" t="s">
        <v>130</v>
      </c>
      <c r="C222" s="252" t="s">
        <v>202</v>
      </c>
      <c r="D222" s="252" t="s">
        <v>194</v>
      </c>
      <c r="E222" s="251" t="s">
        <v>1077</v>
      </c>
      <c r="F222" s="252" t="s">
        <v>77</v>
      </c>
      <c r="G222" s="257">
        <v>4160</v>
      </c>
      <c r="H222" s="257">
        <v>0</v>
      </c>
      <c r="I222" s="257">
        <v>0</v>
      </c>
      <c r="J222" s="257">
        <v>0</v>
      </c>
      <c r="K222" s="257">
        <f t="shared" si="155"/>
        <v>0</v>
      </c>
      <c r="L222" s="257">
        <v>0</v>
      </c>
      <c r="M222" s="257">
        <v>0</v>
      </c>
      <c r="N222" s="257">
        <f t="shared" si="156"/>
        <v>0</v>
      </c>
      <c r="O222" s="257">
        <v>0</v>
      </c>
    </row>
    <row r="223" spans="1:15" ht="33.75" customHeight="1" x14ac:dyDescent="0.2">
      <c r="A223" s="259" t="s">
        <v>76</v>
      </c>
      <c r="B223" s="252" t="s">
        <v>130</v>
      </c>
      <c r="C223" s="252" t="s">
        <v>202</v>
      </c>
      <c r="D223" s="252" t="s">
        <v>194</v>
      </c>
      <c r="E223" s="251" t="s">
        <v>1078</v>
      </c>
      <c r="F223" s="252" t="s">
        <v>77</v>
      </c>
      <c r="G223" s="257">
        <v>0</v>
      </c>
      <c r="H223" s="257">
        <v>1620</v>
      </c>
      <c r="I223" s="257">
        <v>1620</v>
      </c>
      <c r="J223" s="257">
        <v>0</v>
      </c>
      <c r="K223" s="257">
        <f t="shared" si="155"/>
        <v>1620</v>
      </c>
      <c r="L223" s="257">
        <v>1620</v>
      </c>
      <c r="M223" s="257">
        <v>-1620</v>
      </c>
      <c r="N223" s="257">
        <f t="shared" si="156"/>
        <v>0</v>
      </c>
      <c r="O223" s="257">
        <v>0</v>
      </c>
    </row>
    <row r="224" spans="1:15" ht="18.75" customHeight="1" x14ac:dyDescent="0.2">
      <c r="A224" s="259" t="s">
        <v>537</v>
      </c>
      <c r="B224" s="252" t="s">
        <v>130</v>
      </c>
      <c r="C224" s="252" t="s">
        <v>202</v>
      </c>
      <c r="D224" s="252" t="s">
        <v>194</v>
      </c>
      <c r="E224" s="251" t="s">
        <v>781</v>
      </c>
      <c r="F224" s="252" t="s">
        <v>79</v>
      </c>
      <c r="G224" s="257">
        <v>700</v>
      </c>
      <c r="H224" s="257">
        <v>0</v>
      </c>
      <c r="I224" s="257">
        <v>700</v>
      </c>
      <c r="J224" s="257">
        <v>0</v>
      </c>
      <c r="K224" s="257">
        <f t="shared" si="155"/>
        <v>700</v>
      </c>
      <c r="L224" s="257">
        <v>700</v>
      </c>
      <c r="M224" s="257">
        <v>-700</v>
      </c>
      <c r="N224" s="257">
        <f t="shared" si="156"/>
        <v>0</v>
      </c>
      <c r="O224" s="257">
        <v>0</v>
      </c>
    </row>
    <row r="225" spans="1:15" s="430" customFormat="1" ht="18.75" hidden="1" customHeight="1" x14ac:dyDescent="0.2">
      <c r="A225" s="462" t="s">
        <v>850</v>
      </c>
      <c r="B225" s="250" t="s">
        <v>130</v>
      </c>
      <c r="C225" s="250" t="s">
        <v>202</v>
      </c>
      <c r="D225" s="250" t="s">
        <v>194</v>
      </c>
      <c r="E225" s="253"/>
      <c r="F225" s="250"/>
      <c r="G225" s="257">
        <v>-171864</v>
      </c>
      <c r="H225" s="257">
        <v>-279279</v>
      </c>
      <c r="I225" s="257">
        <v>-451143</v>
      </c>
      <c r="J225" s="257">
        <f t="shared" ref="J225:J234" si="157">H225+I225</f>
        <v>-730422</v>
      </c>
      <c r="K225" s="257">
        <f t="shared" si="155"/>
        <v>-1181565</v>
      </c>
      <c r="L225" s="257">
        <f t="shared" si="155"/>
        <v>-1911987</v>
      </c>
      <c r="M225" s="257">
        <f t="shared" ref="M225:M234" si="158">L225+L225</f>
        <v>-3823974</v>
      </c>
      <c r="N225" s="257">
        <f t="shared" si="156"/>
        <v>-5735961</v>
      </c>
      <c r="O225" s="257">
        <f t="shared" ref="O225:O234" si="159">M225+N225</f>
        <v>-9559935</v>
      </c>
    </row>
    <row r="226" spans="1:15" s="430" customFormat="1" ht="18.75" hidden="1" customHeight="1" x14ac:dyDescent="0.2">
      <c r="A226" s="259" t="s">
        <v>536</v>
      </c>
      <c r="B226" s="252" t="s">
        <v>130</v>
      </c>
      <c r="C226" s="252" t="s">
        <v>202</v>
      </c>
      <c r="D226" s="252" t="s">
        <v>194</v>
      </c>
      <c r="E226" s="251" t="s">
        <v>782</v>
      </c>
      <c r="F226" s="252"/>
      <c r="G226" s="257">
        <v>-46000</v>
      </c>
      <c r="H226" s="257">
        <v>-74750</v>
      </c>
      <c r="I226" s="257">
        <v>-120750</v>
      </c>
      <c r="J226" s="257">
        <f t="shared" si="157"/>
        <v>-195500</v>
      </c>
      <c r="K226" s="257">
        <f t="shared" si="155"/>
        <v>-316250</v>
      </c>
      <c r="L226" s="257">
        <f t="shared" si="155"/>
        <v>-511750</v>
      </c>
      <c r="M226" s="257">
        <f t="shared" si="158"/>
        <v>-1023500</v>
      </c>
      <c r="N226" s="257">
        <f t="shared" si="156"/>
        <v>-1535250</v>
      </c>
      <c r="O226" s="257">
        <f t="shared" si="159"/>
        <v>-2558750</v>
      </c>
    </row>
    <row r="227" spans="1:15" s="430" customFormat="1" ht="30.75" hidden="1" customHeight="1" x14ac:dyDescent="0.2">
      <c r="A227" s="259" t="s">
        <v>76</v>
      </c>
      <c r="B227" s="252" t="s">
        <v>130</v>
      </c>
      <c r="C227" s="252" t="s">
        <v>202</v>
      </c>
      <c r="D227" s="252" t="s">
        <v>194</v>
      </c>
      <c r="E227" s="251" t="s">
        <v>782</v>
      </c>
      <c r="F227" s="252" t="s">
        <v>77</v>
      </c>
      <c r="G227" s="257">
        <v>-44400</v>
      </c>
      <c r="H227" s="257">
        <v>-72150</v>
      </c>
      <c r="I227" s="257">
        <v>-116550</v>
      </c>
      <c r="J227" s="257">
        <f t="shared" si="157"/>
        <v>-188700</v>
      </c>
      <c r="K227" s="257">
        <f t="shared" si="155"/>
        <v>-305250</v>
      </c>
      <c r="L227" s="257">
        <f t="shared" si="155"/>
        <v>-493950</v>
      </c>
      <c r="M227" s="257">
        <f t="shared" si="158"/>
        <v>-987900</v>
      </c>
      <c r="N227" s="257">
        <f t="shared" si="156"/>
        <v>-1481850</v>
      </c>
      <c r="O227" s="257">
        <f t="shared" si="159"/>
        <v>-2469750</v>
      </c>
    </row>
    <row r="228" spans="1:15" s="430" customFormat="1" ht="18.75" hidden="1" customHeight="1" x14ac:dyDescent="0.2">
      <c r="A228" s="259" t="s">
        <v>78</v>
      </c>
      <c r="B228" s="252" t="s">
        <v>130</v>
      </c>
      <c r="C228" s="252" t="s">
        <v>202</v>
      </c>
      <c r="D228" s="252" t="s">
        <v>194</v>
      </c>
      <c r="E228" s="251" t="s">
        <v>782</v>
      </c>
      <c r="F228" s="252" t="s">
        <v>79</v>
      </c>
      <c r="G228" s="257">
        <v>-1600</v>
      </c>
      <c r="H228" s="257">
        <v>-2600</v>
      </c>
      <c r="I228" s="257">
        <v>-4200</v>
      </c>
      <c r="J228" s="257">
        <f t="shared" si="157"/>
        <v>-6800</v>
      </c>
      <c r="K228" s="257">
        <f t="shared" si="155"/>
        <v>-11000</v>
      </c>
      <c r="L228" s="257">
        <f t="shared" si="155"/>
        <v>-17800</v>
      </c>
      <c r="M228" s="257">
        <f t="shared" si="158"/>
        <v>-35600</v>
      </c>
      <c r="N228" s="257">
        <f t="shared" si="156"/>
        <v>-53400</v>
      </c>
      <c r="O228" s="257">
        <f t="shared" si="159"/>
        <v>-89000</v>
      </c>
    </row>
    <row r="229" spans="1:15" ht="18.75" hidden="1" customHeight="1" x14ac:dyDescent="0.2">
      <c r="A229" s="259" t="s">
        <v>537</v>
      </c>
      <c r="B229" s="252" t="s">
        <v>130</v>
      </c>
      <c r="C229" s="252" t="s">
        <v>202</v>
      </c>
      <c r="D229" s="252" t="s">
        <v>194</v>
      </c>
      <c r="E229" s="251" t="s">
        <v>781</v>
      </c>
      <c r="F229" s="252"/>
      <c r="G229" s="257">
        <v>-117864</v>
      </c>
      <c r="H229" s="257">
        <v>-191529</v>
      </c>
      <c r="I229" s="257">
        <v>-309393</v>
      </c>
      <c r="J229" s="257">
        <f t="shared" si="157"/>
        <v>-500922</v>
      </c>
      <c r="K229" s="257">
        <f t="shared" si="155"/>
        <v>-810315</v>
      </c>
      <c r="L229" s="257">
        <f t="shared" si="155"/>
        <v>-1311237</v>
      </c>
      <c r="M229" s="257">
        <f t="shared" si="158"/>
        <v>-2622474</v>
      </c>
      <c r="N229" s="257">
        <f t="shared" si="156"/>
        <v>-3933711</v>
      </c>
      <c r="O229" s="257">
        <f t="shared" si="159"/>
        <v>-6556185</v>
      </c>
    </row>
    <row r="230" spans="1:15" ht="33.75" hidden="1" customHeight="1" x14ac:dyDescent="0.2">
      <c r="A230" s="259" t="s">
        <v>76</v>
      </c>
      <c r="B230" s="252" t="s">
        <v>130</v>
      </c>
      <c r="C230" s="252" t="s">
        <v>202</v>
      </c>
      <c r="D230" s="252" t="s">
        <v>194</v>
      </c>
      <c r="E230" s="251" t="s">
        <v>781</v>
      </c>
      <c r="F230" s="252" t="s">
        <v>77</v>
      </c>
      <c r="G230" s="257">
        <v>-112104</v>
      </c>
      <c r="H230" s="257">
        <v>-182169</v>
      </c>
      <c r="I230" s="257">
        <v>-294273</v>
      </c>
      <c r="J230" s="257">
        <f t="shared" si="157"/>
        <v>-476442</v>
      </c>
      <c r="K230" s="257">
        <f t="shared" si="155"/>
        <v>-770715</v>
      </c>
      <c r="L230" s="257">
        <f t="shared" si="155"/>
        <v>-1247157</v>
      </c>
      <c r="M230" s="257">
        <f t="shared" si="158"/>
        <v>-2494314</v>
      </c>
      <c r="N230" s="257">
        <f t="shared" si="156"/>
        <v>-3741471</v>
      </c>
      <c r="O230" s="257">
        <f t="shared" si="159"/>
        <v>-6235785</v>
      </c>
    </row>
    <row r="231" spans="1:15" ht="18.75" hidden="1" customHeight="1" x14ac:dyDescent="0.2">
      <c r="A231" s="259" t="s">
        <v>78</v>
      </c>
      <c r="B231" s="252" t="s">
        <v>130</v>
      </c>
      <c r="C231" s="252" t="s">
        <v>202</v>
      </c>
      <c r="D231" s="252" t="s">
        <v>194</v>
      </c>
      <c r="E231" s="251" t="s">
        <v>781</v>
      </c>
      <c r="F231" s="252" t="s">
        <v>79</v>
      </c>
      <c r="G231" s="257">
        <v>-5760</v>
      </c>
      <c r="H231" s="257">
        <v>-9360</v>
      </c>
      <c r="I231" s="257">
        <v>-15120</v>
      </c>
      <c r="J231" s="257">
        <f t="shared" si="157"/>
        <v>-24480</v>
      </c>
      <c r="K231" s="257">
        <f t="shared" si="155"/>
        <v>-39600</v>
      </c>
      <c r="L231" s="257">
        <f t="shared" si="155"/>
        <v>-64080</v>
      </c>
      <c r="M231" s="257">
        <f t="shared" si="158"/>
        <v>-128160</v>
      </c>
      <c r="N231" s="257">
        <f t="shared" si="156"/>
        <v>-192240</v>
      </c>
      <c r="O231" s="257">
        <f t="shared" si="159"/>
        <v>-320400</v>
      </c>
    </row>
    <row r="232" spans="1:15" ht="33.75" hidden="1" customHeight="1" x14ac:dyDescent="0.2">
      <c r="A232" s="259" t="s">
        <v>862</v>
      </c>
      <c r="B232" s="252" t="s">
        <v>130</v>
      </c>
      <c r="C232" s="252" t="s">
        <v>202</v>
      </c>
      <c r="D232" s="252" t="s">
        <v>194</v>
      </c>
      <c r="E232" s="251" t="s">
        <v>863</v>
      </c>
      <c r="F232" s="252" t="s">
        <v>79</v>
      </c>
      <c r="G232" s="257">
        <v>-8000</v>
      </c>
      <c r="H232" s="257">
        <v>-13000</v>
      </c>
      <c r="I232" s="257">
        <v>-21000</v>
      </c>
      <c r="J232" s="257">
        <f t="shared" si="157"/>
        <v>-34000</v>
      </c>
      <c r="K232" s="257">
        <f t="shared" si="155"/>
        <v>-55000</v>
      </c>
      <c r="L232" s="257">
        <f t="shared" si="155"/>
        <v>-89000</v>
      </c>
      <c r="M232" s="257">
        <f t="shared" si="158"/>
        <v>-178000</v>
      </c>
      <c r="N232" s="257">
        <f t="shared" si="156"/>
        <v>-267000</v>
      </c>
      <c r="O232" s="257">
        <f t="shared" si="159"/>
        <v>-445000</v>
      </c>
    </row>
    <row r="233" spans="1:15" ht="33.75" hidden="1" customHeight="1" x14ac:dyDescent="0.2">
      <c r="A233" s="259" t="s">
        <v>78</v>
      </c>
      <c r="B233" s="252" t="s">
        <v>130</v>
      </c>
      <c r="C233" s="252" t="s">
        <v>202</v>
      </c>
      <c r="D233" s="252" t="s">
        <v>194</v>
      </c>
      <c r="E233" s="251" t="s">
        <v>956</v>
      </c>
      <c r="F233" s="252" t="s">
        <v>79</v>
      </c>
      <c r="G233" s="257">
        <v>0</v>
      </c>
      <c r="H233" s="257">
        <v>0</v>
      </c>
      <c r="I233" s="257">
        <v>0</v>
      </c>
      <c r="J233" s="257">
        <f t="shared" si="157"/>
        <v>0</v>
      </c>
      <c r="K233" s="257">
        <f t="shared" si="155"/>
        <v>0</v>
      </c>
      <c r="L233" s="257">
        <f t="shared" si="155"/>
        <v>0</v>
      </c>
      <c r="M233" s="257">
        <f t="shared" si="158"/>
        <v>0</v>
      </c>
      <c r="N233" s="257">
        <f t="shared" si="156"/>
        <v>0</v>
      </c>
      <c r="O233" s="257">
        <f t="shared" si="159"/>
        <v>0</v>
      </c>
    </row>
    <row r="234" spans="1:15" ht="33.75" hidden="1" customHeight="1" x14ac:dyDescent="0.2">
      <c r="A234" s="259" t="s">
        <v>862</v>
      </c>
      <c r="B234" s="252" t="s">
        <v>130</v>
      </c>
      <c r="C234" s="252" t="s">
        <v>202</v>
      </c>
      <c r="D234" s="252" t="s">
        <v>194</v>
      </c>
      <c r="E234" s="251" t="s">
        <v>863</v>
      </c>
      <c r="F234" s="252" t="s">
        <v>79</v>
      </c>
      <c r="G234" s="257">
        <v>0</v>
      </c>
      <c r="H234" s="257">
        <v>0</v>
      </c>
      <c r="I234" s="257">
        <v>0</v>
      </c>
      <c r="J234" s="257">
        <f t="shared" si="157"/>
        <v>0</v>
      </c>
      <c r="K234" s="257">
        <f t="shared" si="155"/>
        <v>0</v>
      </c>
      <c r="L234" s="257">
        <f t="shared" si="155"/>
        <v>0</v>
      </c>
      <c r="M234" s="257">
        <f t="shared" si="158"/>
        <v>0</v>
      </c>
      <c r="N234" s="257">
        <f t="shared" si="156"/>
        <v>0</v>
      </c>
      <c r="O234" s="257">
        <f t="shared" si="159"/>
        <v>0</v>
      </c>
    </row>
    <row r="235" spans="1:15" ht="17.25" customHeight="1" x14ac:dyDescent="0.2">
      <c r="A235" s="462" t="s">
        <v>230</v>
      </c>
      <c r="B235" s="250" t="s">
        <v>130</v>
      </c>
      <c r="C235" s="250" t="s">
        <v>202</v>
      </c>
      <c r="D235" s="250" t="s">
        <v>202</v>
      </c>
      <c r="E235" s="253"/>
      <c r="F235" s="250"/>
      <c r="G235" s="261">
        <v>2007.7</v>
      </c>
      <c r="H235" s="261">
        <v>-200</v>
      </c>
      <c r="I235" s="261">
        <v>2007.7</v>
      </c>
      <c r="J235" s="261">
        <f t="shared" ref="J235" si="160">J236+J240+J242</f>
        <v>70.400000000000006</v>
      </c>
      <c r="K235" s="261">
        <f>L236+L240+L242</f>
        <v>2768.9</v>
      </c>
      <c r="L235" s="261">
        <f t="shared" ref="L235" si="161">L236+L240+L242</f>
        <v>2768.9</v>
      </c>
      <c r="M235" s="261">
        <f t="shared" ref="M235:N235" si="162">M236+M240+M242</f>
        <v>-2668.9</v>
      </c>
      <c r="N235" s="261">
        <f t="shared" si="162"/>
        <v>100</v>
      </c>
      <c r="O235" s="261">
        <f t="shared" ref="O235" si="163">O236+O240+O242</f>
        <v>100</v>
      </c>
    </row>
    <row r="236" spans="1:15" x14ac:dyDescent="0.2">
      <c r="A236" s="259" t="s">
        <v>754</v>
      </c>
      <c r="B236" s="252" t="s">
        <v>130</v>
      </c>
      <c r="C236" s="252" t="s">
        <v>202</v>
      </c>
      <c r="D236" s="252" t="s">
        <v>202</v>
      </c>
      <c r="E236" s="251" t="s">
        <v>753</v>
      </c>
      <c r="F236" s="252"/>
      <c r="G236" s="257">
        <v>384</v>
      </c>
      <c r="H236" s="257">
        <v>-200</v>
      </c>
      <c r="I236" s="257">
        <v>384</v>
      </c>
      <c r="J236" s="257">
        <f t="shared" ref="J236" si="164">J239+J237+J238</f>
        <v>0</v>
      </c>
      <c r="K236" s="257">
        <f>L239+L237+L238</f>
        <v>384</v>
      </c>
      <c r="L236" s="257">
        <f t="shared" ref="L236" si="165">L239+L237+L238</f>
        <v>384</v>
      </c>
      <c r="M236" s="257">
        <f t="shared" ref="M236:N236" si="166">M239+M237+M238</f>
        <v>-384</v>
      </c>
      <c r="N236" s="257">
        <f t="shared" si="166"/>
        <v>0</v>
      </c>
      <c r="O236" s="257">
        <f t="shared" ref="O236" si="167">O239+O237+O238</f>
        <v>0</v>
      </c>
    </row>
    <row r="237" spans="1:15" hidden="1" x14ac:dyDescent="0.2">
      <c r="A237" s="259" t="s">
        <v>97</v>
      </c>
      <c r="B237" s="252" t="s">
        <v>130</v>
      </c>
      <c r="C237" s="252" t="s">
        <v>202</v>
      </c>
      <c r="D237" s="252" t="s">
        <v>202</v>
      </c>
      <c r="E237" s="251" t="s">
        <v>753</v>
      </c>
      <c r="F237" s="252" t="s">
        <v>919</v>
      </c>
      <c r="G237" s="257">
        <v>0</v>
      </c>
      <c r="H237" s="257">
        <v>0</v>
      </c>
      <c r="I237" s="257">
        <v>0</v>
      </c>
      <c r="J237" s="257">
        <f t="shared" ref="J237:L291" si="168">H237+I237</f>
        <v>0</v>
      </c>
      <c r="K237" s="257">
        <f t="shared" si="168"/>
        <v>0</v>
      </c>
      <c r="L237" s="257">
        <f t="shared" si="168"/>
        <v>0</v>
      </c>
      <c r="M237" s="257">
        <f>L237+L237</f>
        <v>0</v>
      </c>
      <c r="N237" s="257">
        <f>L237+M237</f>
        <v>0</v>
      </c>
      <c r="O237" s="257">
        <f t="shared" ref="O237:O238" si="169">M237+N237</f>
        <v>0</v>
      </c>
    </row>
    <row r="238" spans="1:15" hidden="1" x14ac:dyDescent="0.2">
      <c r="A238" s="259" t="s">
        <v>121</v>
      </c>
      <c r="B238" s="252" t="s">
        <v>130</v>
      </c>
      <c r="C238" s="252" t="s">
        <v>202</v>
      </c>
      <c r="D238" s="252" t="s">
        <v>202</v>
      </c>
      <c r="E238" s="251" t="s">
        <v>753</v>
      </c>
      <c r="F238" s="252" t="s">
        <v>94</v>
      </c>
      <c r="G238" s="257">
        <v>0</v>
      </c>
      <c r="H238" s="257">
        <v>0</v>
      </c>
      <c r="I238" s="257">
        <v>0</v>
      </c>
      <c r="J238" s="257">
        <f t="shared" si="168"/>
        <v>0</v>
      </c>
      <c r="K238" s="257">
        <f t="shared" si="168"/>
        <v>0</v>
      </c>
      <c r="L238" s="257">
        <f t="shared" si="168"/>
        <v>0</v>
      </c>
      <c r="M238" s="257">
        <f>L238+L238</f>
        <v>0</v>
      </c>
      <c r="N238" s="257">
        <f>L238+M238</f>
        <v>0</v>
      </c>
      <c r="O238" s="257">
        <f t="shared" si="169"/>
        <v>0</v>
      </c>
    </row>
    <row r="239" spans="1:15" x14ac:dyDescent="0.2">
      <c r="A239" s="259" t="s">
        <v>78</v>
      </c>
      <c r="B239" s="252" t="s">
        <v>130</v>
      </c>
      <c r="C239" s="252" t="s">
        <v>202</v>
      </c>
      <c r="D239" s="252" t="s">
        <v>202</v>
      </c>
      <c r="E239" s="251" t="s">
        <v>753</v>
      </c>
      <c r="F239" s="252" t="s">
        <v>79</v>
      </c>
      <c r="G239" s="257">
        <v>384</v>
      </c>
      <c r="H239" s="257">
        <v>-200</v>
      </c>
      <c r="I239" s="257">
        <v>384</v>
      </c>
      <c r="J239" s="257">
        <v>0</v>
      </c>
      <c r="K239" s="257">
        <f t="shared" si="168"/>
        <v>384</v>
      </c>
      <c r="L239" s="257">
        <v>384</v>
      </c>
      <c r="M239" s="257">
        <v>-384</v>
      </c>
      <c r="N239" s="257">
        <f>L239+M239</f>
        <v>0</v>
      </c>
      <c r="O239" s="257">
        <v>0</v>
      </c>
    </row>
    <row r="240" spans="1:15" x14ac:dyDescent="0.2">
      <c r="A240" s="259" t="s">
        <v>883</v>
      </c>
      <c r="B240" s="252" t="s">
        <v>130</v>
      </c>
      <c r="C240" s="252" t="s">
        <v>202</v>
      </c>
      <c r="D240" s="252" t="s">
        <v>202</v>
      </c>
      <c r="E240" s="251" t="s">
        <v>752</v>
      </c>
      <c r="F240" s="252"/>
      <c r="G240" s="257">
        <v>100</v>
      </c>
      <c r="H240" s="257">
        <v>0</v>
      </c>
      <c r="I240" s="257">
        <v>100</v>
      </c>
      <c r="J240" s="257">
        <f t="shared" ref="J240:O240" si="170">J241</f>
        <v>0</v>
      </c>
      <c r="K240" s="257">
        <f>L241</f>
        <v>100</v>
      </c>
      <c r="L240" s="257">
        <f t="shared" si="170"/>
        <v>100</v>
      </c>
      <c r="M240" s="257">
        <f t="shared" si="170"/>
        <v>0</v>
      </c>
      <c r="N240" s="257">
        <f t="shared" si="170"/>
        <v>100</v>
      </c>
      <c r="O240" s="257">
        <f t="shared" si="170"/>
        <v>100</v>
      </c>
    </row>
    <row r="241" spans="1:15" x14ac:dyDescent="0.2">
      <c r="A241" s="259" t="s">
        <v>121</v>
      </c>
      <c r="B241" s="252" t="s">
        <v>130</v>
      </c>
      <c r="C241" s="252" t="s">
        <v>202</v>
      </c>
      <c r="D241" s="252" t="s">
        <v>202</v>
      </c>
      <c r="E241" s="251" t="s">
        <v>752</v>
      </c>
      <c r="F241" s="252" t="s">
        <v>94</v>
      </c>
      <c r="G241" s="257">
        <v>100</v>
      </c>
      <c r="H241" s="257">
        <v>0</v>
      </c>
      <c r="I241" s="257">
        <v>100</v>
      </c>
      <c r="J241" s="257">
        <v>0</v>
      </c>
      <c r="K241" s="257">
        <f t="shared" ref="K241" si="171">I241+J241</f>
        <v>100</v>
      </c>
      <c r="L241" s="257">
        <v>100</v>
      </c>
      <c r="M241" s="257">
        <v>0</v>
      </c>
      <c r="N241" s="257">
        <f>L241+M241</f>
        <v>100</v>
      </c>
      <c r="O241" s="257">
        <v>100</v>
      </c>
    </row>
    <row r="242" spans="1:15" ht="30" x14ac:dyDescent="0.2">
      <c r="A242" s="259" t="s">
        <v>750</v>
      </c>
      <c r="B242" s="252" t="s">
        <v>130</v>
      </c>
      <c r="C242" s="252" t="s">
        <v>202</v>
      </c>
      <c r="D242" s="252" t="s">
        <v>202</v>
      </c>
      <c r="E242" s="251" t="s">
        <v>947</v>
      </c>
      <c r="F242" s="252"/>
      <c r="G242" s="257">
        <v>1523.7</v>
      </c>
      <c r="H242" s="257">
        <v>0</v>
      </c>
      <c r="I242" s="257">
        <v>1523.7</v>
      </c>
      <c r="J242" s="257">
        <f t="shared" ref="J242" si="172">J243+J244</f>
        <v>70.400000000000006</v>
      </c>
      <c r="K242" s="257">
        <f>L243+L244</f>
        <v>2284.9</v>
      </c>
      <c r="L242" s="257">
        <f t="shared" ref="L242" si="173">L243+L244</f>
        <v>2284.9</v>
      </c>
      <c r="M242" s="257">
        <f t="shared" ref="M242:N242" si="174">M243+M244</f>
        <v>-2284.9</v>
      </c>
      <c r="N242" s="257">
        <f t="shared" si="174"/>
        <v>0</v>
      </c>
      <c r="O242" s="257">
        <f t="shared" ref="O242" si="175">O243+O244</f>
        <v>0</v>
      </c>
    </row>
    <row r="243" spans="1:15" hidden="1" x14ac:dyDescent="0.2">
      <c r="A243" s="259" t="s">
        <v>138</v>
      </c>
      <c r="B243" s="252" t="s">
        <v>130</v>
      </c>
      <c r="C243" s="252" t="s">
        <v>392</v>
      </c>
      <c r="D243" s="252" t="s">
        <v>392</v>
      </c>
      <c r="E243" s="251" t="s">
        <v>947</v>
      </c>
      <c r="F243" s="252" t="s">
        <v>139</v>
      </c>
      <c r="G243" s="257">
        <v>0</v>
      </c>
      <c r="H243" s="257">
        <v>0</v>
      </c>
      <c r="I243" s="257">
        <v>0</v>
      </c>
      <c r="J243" s="257">
        <f t="shared" si="168"/>
        <v>0</v>
      </c>
      <c r="K243" s="257">
        <f t="shared" si="168"/>
        <v>0</v>
      </c>
      <c r="L243" s="257">
        <f t="shared" si="168"/>
        <v>0</v>
      </c>
      <c r="M243" s="257">
        <f>L243+L243</f>
        <v>0</v>
      </c>
      <c r="N243" s="257">
        <f>L243+M243</f>
        <v>0</v>
      </c>
      <c r="O243" s="257">
        <f t="shared" ref="O243" si="176">M243+N243</f>
        <v>0</v>
      </c>
    </row>
    <row r="244" spans="1:15" x14ac:dyDescent="0.2">
      <c r="A244" s="259" t="s">
        <v>78</v>
      </c>
      <c r="B244" s="252" t="s">
        <v>130</v>
      </c>
      <c r="C244" s="252" t="s">
        <v>392</v>
      </c>
      <c r="D244" s="252" t="s">
        <v>392</v>
      </c>
      <c r="E244" s="251" t="s">
        <v>947</v>
      </c>
      <c r="F244" s="252" t="s">
        <v>79</v>
      </c>
      <c r="G244" s="257">
        <v>1523.7</v>
      </c>
      <c r="H244" s="257">
        <v>0</v>
      </c>
      <c r="I244" s="257">
        <v>1523.7</v>
      </c>
      <c r="J244" s="257">
        <v>70.400000000000006</v>
      </c>
      <c r="K244" s="257">
        <f t="shared" si="168"/>
        <v>1594.1000000000001</v>
      </c>
      <c r="L244" s="257">
        <v>2284.9</v>
      </c>
      <c r="M244" s="257">
        <v>-2284.9</v>
      </c>
      <c r="N244" s="257">
        <f>L244+M244</f>
        <v>0</v>
      </c>
      <c r="O244" s="257">
        <v>0</v>
      </c>
    </row>
    <row r="245" spans="1:15" ht="14.25" x14ac:dyDescent="0.2">
      <c r="A245" s="462" t="s">
        <v>231</v>
      </c>
      <c r="B245" s="250" t="s">
        <v>130</v>
      </c>
      <c r="C245" s="250" t="s">
        <v>202</v>
      </c>
      <c r="D245" s="250" t="s">
        <v>212</v>
      </c>
      <c r="E245" s="250"/>
      <c r="F245" s="250"/>
      <c r="G245" s="261">
        <v>23134.5</v>
      </c>
      <c r="H245" s="261">
        <v>2231.6</v>
      </c>
      <c r="I245" s="261">
        <v>16638.5</v>
      </c>
      <c r="J245" s="261">
        <f t="shared" ref="J245" si="177">J270</f>
        <v>2472.13</v>
      </c>
      <c r="K245" s="261">
        <f>L270</f>
        <v>18840.63</v>
      </c>
      <c r="L245" s="261">
        <f>L270+L293+L296</f>
        <v>18840.63</v>
      </c>
      <c r="M245" s="261">
        <f t="shared" ref="M245:O245" si="178">M270+M293+M296</f>
        <v>2760.6</v>
      </c>
      <c r="N245" s="261">
        <f t="shared" si="178"/>
        <v>21601.23</v>
      </c>
      <c r="O245" s="261">
        <f t="shared" si="178"/>
        <v>21401.23</v>
      </c>
    </row>
    <row r="246" spans="1:15" ht="12.75" hidden="1" customHeight="1" x14ac:dyDescent="0.2">
      <c r="A246" s="462" t="s">
        <v>329</v>
      </c>
      <c r="B246" s="250" t="s">
        <v>130</v>
      </c>
      <c r="C246" s="250" t="s">
        <v>202</v>
      </c>
      <c r="D246" s="250" t="s">
        <v>212</v>
      </c>
      <c r="E246" s="250" t="s">
        <v>330</v>
      </c>
      <c r="F246" s="250"/>
      <c r="G246" s="257" t="e">
        <v>#REF!</v>
      </c>
      <c r="H246" s="257">
        <v>0</v>
      </c>
      <c r="I246" s="257" t="e">
        <v>#REF!</v>
      </c>
      <c r="J246" s="257" t="e">
        <f t="shared" ref="J246:O247" si="179">J247</f>
        <v>#REF!</v>
      </c>
      <c r="K246" s="257" t="e">
        <f>L247</f>
        <v>#REF!</v>
      </c>
      <c r="L246" s="257" t="e">
        <f t="shared" si="179"/>
        <v>#REF!</v>
      </c>
      <c r="M246" s="257" t="e">
        <f t="shared" si="179"/>
        <v>#REF!</v>
      </c>
      <c r="N246" s="257" t="e">
        <f t="shared" si="179"/>
        <v>#REF!</v>
      </c>
      <c r="O246" s="257" t="e">
        <f t="shared" si="179"/>
        <v>#REF!</v>
      </c>
    </row>
    <row r="247" spans="1:15" ht="51" hidden="1" customHeight="1" x14ac:dyDescent="0.2">
      <c r="A247" s="259" t="s">
        <v>140</v>
      </c>
      <c r="B247" s="252" t="s">
        <v>130</v>
      </c>
      <c r="C247" s="252" t="s">
        <v>202</v>
      </c>
      <c r="D247" s="252" t="s">
        <v>212</v>
      </c>
      <c r="E247" s="252" t="s">
        <v>141</v>
      </c>
      <c r="F247" s="252"/>
      <c r="G247" s="257" t="e">
        <v>#REF!</v>
      </c>
      <c r="H247" s="257">
        <v>0</v>
      </c>
      <c r="I247" s="257" t="e">
        <v>#REF!</v>
      </c>
      <c r="J247" s="257" t="e">
        <f t="shared" si="179"/>
        <v>#REF!</v>
      </c>
      <c r="K247" s="257" t="e">
        <f>L248</f>
        <v>#REF!</v>
      </c>
      <c r="L247" s="257" t="e">
        <f t="shared" si="179"/>
        <v>#REF!</v>
      </c>
      <c r="M247" s="257" t="e">
        <f t="shared" si="179"/>
        <v>#REF!</v>
      </c>
      <c r="N247" s="257" t="e">
        <f t="shared" si="179"/>
        <v>#REF!</v>
      </c>
      <c r="O247" s="257" t="e">
        <f t="shared" si="179"/>
        <v>#REF!</v>
      </c>
    </row>
    <row r="248" spans="1:15" ht="12.75" hidden="1" customHeight="1" x14ac:dyDescent="0.2">
      <c r="A248" s="259" t="s">
        <v>320</v>
      </c>
      <c r="B248" s="252" t="s">
        <v>130</v>
      </c>
      <c r="C248" s="252" t="s">
        <v>202</v>
      </c>
      <c r="D248" s="252" t="s">
        <v>212</v>
      </c>
      <c r="E248" s="252" t="s">
        <v>141</v>
      </c>
      <c r="F248" s="252" t="s">
        <v>321</v>
      </c>
      <c r="G248" s="257" t="e">
        <v>#REF!</v>
      </c>
      <c r="H248" s="257">
        <v>0</v>
      </c>
      <c r="I248" s="257" t="e">
        <v>#REF!</v>
      </c>
      <c r="J248" s="257" t="e">
        <f>#REF!+H248</f>
        <v>#REF!</v>
      </c>
      <c r="K248" s="257" t="e">
        <f>#REF!+I248</f>
        <v>#REF!</v>
      </c>
      <c r="L248" s="257" t="e">
        <f t="shared" ref="L248" si="180">F248+J248</f>
        <v>#REF!</v>
      </c>
      <c r="M248" s="257" t="e">
        <f>G248+L248</f>
        <v>#REF!</v>
      </c>
      <c r="N248" s="257" t="e">
        <f>H248+L248</f>
        <v>#REF!</v>
      </c>
      <c r="O248" s="257" t="e">
        <f t="shared" ref="O248" si="181">I248+M248</f>
        <v>#REF!</v>
      </c>
    </row>
    <row r="249" spans="1:15" ht="30.75" hidden="1" customHeight="1" x14ac:dyDescent="0.2">
      <c r="A249" s="259" t="s">
        <v>123</v>
      </c>
      <c r="B249" s="252" t="s">
        <v>130</v>
      </c>
      <c r="C249" s="252" t="s">
        <v>202</v>
      </c>
      <c r="D249" s="252" t="s">
        <v>212</v>
      </c>
      <c r="E249" s="260" t="s">
        <v>332</v>
      </c>
      <c r="F249" s="252"/>
      <c r="G249" s="257">
        <v>-18114</v>
      </c>
      <c r="H249" s="257">
        <v>-29435.25</v>
      </c>
      <c r="I249" s="257">
        <v>-29435.25</v>
      </c>
      <c r="J249" s="257" t="e">
        <f t="shared" ref="J249:M250" si="182">J250</f>
        <v>#REF!</v>
      </c>
      <c r="K249" s="257" t="e">
        <f>L250</f>
        <v>#REF!</v>
      </c>
      <c r="L249" s="257" t="e">
        <f t="shared" ref="L249:O250" si="183">L250</f>
        <v>#REF!</v>
      </c>
      <c r="M249" s="257" t="e">
        <f t="shared" si="182"/>
        <v>#REF!</v>
      </c>
      <c r="N249" s="257" t="e">
        <f t="shared" si="183"/>
        <v>#REF!</v>
      </c>
      <c r="O249" s="257" t="e">
        <f t="shared" si="183"/>
        <v>#REF!</v>
      </c>
    </row>
    <row r="250" spans="1:15" hidden="1" x14ac:dyDescent="0.2">
      <c r="A250" s="259" t="s">
        <v>333</v>
      </c>
      <c r="B250" s="252" t="s">
        <v>130</v>
      </c>
      <c r="C250" s="252" t="s">
        <v>202</v>
      </c>
      <c r="D250" s="252" t="s">
        <v>212</v>
      </c>
      <c r="E250" s="260" t="s">
        <v>334</v>
      </c>
      <c r="F250" s="252"/>
      <c r="G250" s="257">
        <v>-18114</v>
      </c>
      <c r="H250" s="257">
        <v>-29435.25</v>
      </c>
      <c r="I250" s="257">
        <v>-29435.25</v>
      </c>
      <c r="J250" s="257" t="e">
        <f t="shared" si="182"/>
        <v>#REF!</v>
      </c>
      <c r="K250" s="257" t="e">
        <f>L251</f>
        <v>#REF!</v>
      </c>
      <c r="L250" s="257" t="e">
        <f t="shared" si="183"/>
        <v>#REF!</v>
      </c>
      <c r="M250" s="257" t="e">
        <f t="shared" si="183"/>
        <v>#REF!</v>
      </c>
      <c r="N250" s="257" t="e">
        <f t="shared" si="183"/>
        <v>#REF!</v>
      </c>
      <c r="O250" s="257" t="e">
        <f t="shared" si="183"/>
        <v>#REF!</v>
      </c>
    </row>
    <row r="251" spans="1:15" hidden="1" x14ac:dyDescent="0.2">
      <c r="A251" s="259" t="s">
        <v>95</v>
      </c>
      <c r="B251" s="252" t="s">
        <v>130</v>
      </c>
      <c r="C251" s="252" t="s">
        <v>202</v>
      </c>
      <c r="D251" s="252" t="s">
        <v>212</v>
      </c>
      <c r="E251" s="260" t="s">
        <v>334</v>
      </c>
      <c r="F251" s="252" t="s">
        <v>96</v>
      </c>
      <c r="G251" s="257">
        <v>-18114</v>
      </c>
      <c r="H251" s="257">
        <v>-29435.25</v>
      </c>
      <c r="I251" s="257">
        <v>-29435.25</v>
      </c>
      <c r="J251" s="257" t="e">
        <f>#REF!+H251</f>
        <v>#REF!</v>
      </c>
      <c r="K251" s="257">
        <f t="shared" ref="K251" si="184">G251+I251</f>
        <v>-47549.25</v>
      </c>
      <c r="L251" s="257" t="e">
        <f>I251+J251</f>
        <v>#REF!</v>
      </c>
      <c r="M251" s="257" t="e">
        <f>I251+L251</f>
        <v>#REF!</v>
      </c>
      <c r="N251" s="257" t="e">
        <f>J251+L251</f>
        <v>#REF!</v>
      </c>
      <c r="O251" s="257" t="e">
        <f>L251+M251</f>
        <v>#REF!</v>
      </c>
    </row>
    <row r="252" spans="1:15" ht="27" hidden="1" customHeight="1" x14ac:dyDescent="0.2">
      <c r="A252" s="259" t="s">
        <v>988</v>
      </c>
      <c r="B252" s="252" t="s">
        <v>130</v>
      </c>
      <c r="C252" s="252" t="s">
        <v>202</v>
      </c>
      <c r="D252" s="252" t="s">
        <v>212</v>
      </c>
      <c r="E252" s="260" t="s">
        <v>455</v>
      </c>
      <c r="F252" s="252"/>
      <c r="G252" s="257" t="e">
        <v>#REF!</v>
      </c>
      <c r="H252" s="257" t="e">
        <v>#REF!</v>
      </c>
      <c r="I252" s="257" t="e">
        <v>#REF!</v>
      </c>
      <c r="J252" s="257" t="e">
        <f t="shared" ref="J252" si="185">J253+J255</f>
        <v>#REF!</v>
      </c>
      <c r="K252" s="257" t="e">
        <f>L253+L255</f>
        <v>#REF!</v>
      </c>
      <c r="L252" s="257" t="e">
        <f t="shared" ref="L252" si="186">L253+L255</f>
        <v>#REF!</v>
      </c>
      <c r="M252" s="257" t="e">
        <f t="shared" ref="M252:N252" si="187">M253+M255</f>
        <v>#REF!</v>
      </c>
      <c r="N252" s="257" t="e">
        <f t="shared" si="187"/>
        <v>#REF!</v>
      </c>
      <c r="O252" s="257" t="e">
        <f t="shared" ref="O252" si="188">O253+O255</f>
        <v>#REF!</v>
      </c>
    </row>
    <row r="253" spans="1:15" ht="27" hidden="1" customHeight="1" x14ac:dyDescent="0.2">
      <c r="A253" s="259" t="s">
        <v>977</v>
      </c>
      <c r="B253" s="252" t="s">
        <v>130</v>
      </c>
      <c r="C253" s="252" t="s">
        <v>202</v>
      </c>
      <c r="D253" s="252" t="s">
        <v>212</v>
      </c>
      <c r="E253" s="260" t="s">
        <v>456</v>
      </c>
      <c r="F253" s="252"/>
      <c r="G253" s="257" t="e">
        <v>#REF!</v>
      </c>
      <c r="H253" s="257" t="e">
        <v>#REF!</v>
      </c>
      <c r="I253" s="257" t="e">
        <v>#REF!</v>
      </c>
      <c r="J253" s="257" t="e">
        <f t="shared" ref="J253:O253" si="189">J254</f>
        <v>#REF!</v>
      </c>
      <c r="K253" s="257" t="e">
        <f>L254</f>
        <v>#REF!</v>
      </c>
      <c r="L253" s="257" t="e">
        <f t="shared" si="189"/>
        <v>#REF!</v>
      </c>
      <c r="M253" s="257" t="e">
        <f t="shared" si="189"/>
        <v>#REF!</v>
      </c>
      <c r="N253" s="257" t="e">
        <f t="shared" si="189"/>
        <v>#REF!</v>
      </c>
      <c r="O253" s="257" t="e">
        <f t="shared" si="189"/>
        <v>#REF!</v>
      </c>
    </row>
    <row r="254" spans="1:15" ht="21" hidden="1" customHeight="1" x14ac:dyDescent="0.2">
      <c r="A254" s="259" t="s">
        <v>95</v>
      </c>
      <c r="B254" s="252" t="s">
        <v>130</v>
      </c>
      <c r="C254" s="252" t="s">
        <v>202</v>
      </c>
      <c r="D254" s="252" t="s">
        <v>212</v>
      </c>
      <c r="E254" s="260" t="s">
        <v>456</v>
      </c>
      <c r="F254" s="252" t="s">
        <v>96</v>
      </c>
      <c r="G254" s="257" t="e">
        <v>#REF!</v>
      </c>
      <c r="H254" s="257" t="e">
        <v>#REF!</v>
      </c>
      <c r="I254" s="257" t="e">
        <v>#REF!</v>
      </c>
      <c r="J254" s="257" t="e">
        <f>#REF!+H254</f>
        <v>#REF!</v>
      </c>
      <c r="K254" s="257" t="e">
        <f>#REF!+I254</f>
        <v>#REF!</v>
      </c>
      <c r="L254" s="257" t="e">
        <f>#REF!+J254</f>
        <v>#REF!</v>
      </c>
      <c r="M254" s="257" t="e">
        <f>#REF!+L254</f>
        <v>#REF!</v>
      </c>
      <c r="N254" s="257" t="e">
        <f>#REF!+L254</f>
        <v>#REF!</v>
      </c>
      <c r="O254" s="257" t="e">
        <f>#REF!+M254</f>
        <v>#REF!</v>
      </c>
    </row>
    <row r="255" spans="1:15" ht="27" hidden="1" customHeight="1" x14ac:dyDescent="0.2">
      <c r="A255" s="259" t="s">
        <v>989</v>
      </c>
      <c r="B255" s="252" t="s">
        <v>130</v>
      </c>
      <c r="C255" s="252" t="s">
        <v>202</v>
      </c>
      <c r="D255" s="252" t="s">
        <v>212</v>
      </c>
      <c r="E255" s="260" t="s">
        <v>483</v>
      </c>
      <c r="F255" s="252"/>
      <c r="G255" s="257" t="e">
        <v>#REF!</v>
      </c>
      <c r="H255" s="257" t="e">
        <v>#REF!</v>
      </c>
      <c r="I255" s="257" t="e">
        <v>#REF!</v>
      </c>
      <c r="J255" s="257" t="e">
        <f t="shared" ref="J255" si="190">J256+J257+J258+J259+J260+J261</f>
        <v>#REF!</v>
      </c>
      <c r="K255" s="257" t="e">
        <f>L256+L257+L258+L259+L260+L261</f>
        <v>#REF!</v>
      </c>
      <c r="L255" s="257" t="e">
        <f t="shared" ref="L255" si="191">L256+L257+L258+L259+L260+L261</f>
        <v>#REF!</v>
      </c>
      <c r="M255" s="257" t="e">
        <f t="shared" ref="M255:N255" si="192">M256+M257+M258+M259+M260+M261</f>
        <v>#REF!</v>
      </c>
      <c r="N255" s="257" t="e">
        <f t="shared" si="192"/>
        <v>#REF!</v>
      </c>
      <c r="O255" s="257" t="e">
        <f t="shared" ref="O255" si="193">O256+O257+O258+O259+O260+O261</f>
        <v>#REF!</v>
      </c>
    </row>
    <row r="256" spans="1:15" ht="15.75" hidden="1" customHeight="1" x14ac:dyDescent="0.2">
      <c r="A256" s="259" t="s">
        <v>95</v>
      </c>
      <c r="B256" s="252" t="s">
        <v>130</v>
      </c>
      <c r="C256" s="252" t="s">
        <v>202</v>
      </c>
      <c r="D256" s="252" t="s">
        <v>212</v>
      </c>
      <c r="E256" s="260" t="s">
        <v>483</v>
      </c>
      <c r="F256" s="252" t="s">
        <v>96</v>
      </c>
      <c r="G256" s="257" t="e">
        <v>#REF!</v>
      </c>
      <c r="H256" s="257" t="e">
        <v>#REF!</v>
      </c>
      <c r="I256" s="257" t="e">
        <v>#REF!</v>
      </c>
      <c r="J256" s="257" t="e">
        <f>#REF!+H256</f>
        <v>#REF!</v>
      </c>
      <c r="K256" s="257" t="e">
        <f>#REF!+I256</f>
        <v>#REF!</v>
      </c>
      <c r="L256" s="257" t="e">
        <f>#REF!+J256</f>
        <v>#REF!</v>
      </c>
      <c r="M256" s="257" t="e">
        <f>#REF!+L256</f>
        <v>#REF!</v>
      </c>
      <c r="N256" s="257" t="e">
        <f>#REF!+L256</f>
        <v>#REF!</v>
      </c>
      <c r="O256" s="257" t="e">
        <f>#REF!+M256</f>
        <v>#REF!</v>
      </c>
    </row>
    <row r="257" spans="1:15" ht="12.75" hidden="1" customHeight="1" x14ac:dyDescent="0.2">
      <c r="A257" s="259" t="s">
        <v>97</v>
      </c>
      <c r="B257" s="252" t="s">
        <v>130</v>
      </c>
      <c r="C257" s="252" t="s">
        <v>202</v>
      </c>
      <c r="D257" s="252" t="s">
        <v>212</v>
      </c>
      <c r="E257" s="260" t="s">
        <v>483</v>
      </c>
      <c r="F257" s="252" t="s">
        <v>98</v>
      </c>
      <c r="G257" s="257" t="e">
        <v>#REF!</v>
      </c>
      <c r="H257" s="257" t="e">
        <v>#REF!</v>
      </c>
      <c r="I257" s="257" t="e">
        <v>#REF!</v>
      </c>
      <c r="J257" s="257" t="e">
        <f>#REF!+H257</f>
        <v>#REF!</v>
      </c>
      <c r="K257" s="257" t="e">
        <f>#REF!+I257</f>
        <v>#REF!</v>
      </c>
      <c r="L257" s="257" t="e">
        <f>#REF!+J257</f>
        <v>#REF!</v>
      </c>
      <c r="M257" s="257" t="e">
        <f>#REF!+L257</f>
        <v>#REF!</v>
      </c>
      <c r="N257" s="257" t="e">
        <f>#REF!+L257</f>
        <v>#REF!</v>
      </c>
      <c r="O257" s="257" t="e">
        <f>#REF!+M257</f>
        <v>#REF!</v>
      </c>
    </row>
    <row r="258" spans="1:15" ht="12.75" hidden="1" customHeight="1" x14ac:dyDescent="0.2">
      <c r="A258" s="259" t="s">
        <v>99</v>
      </c>
      <c r="B258" s="252" t="s">
        <v>130</v>
      </c>
      <c r="C258" s="252" t="s">
        <v>202</v>
      </c>
      <c r="D258" s="252" t="s">
        <v>212</v>
      </c>
      <c r="E258" s="260" t="s">
        <v>483</v>
      </c>
      <c r="F258" s="252" t="s">
        <v>100</v>
      </c>
      <c r="G258" s="257" t="e">
        <v>#REF!</v>
      </c>
      <c r="H258" s="257" t="e">
        <v>#REF!</v>
      </c>
      <c r="I258" s="257" t="e">
        <v>#REF!</v>
      </c>
      <c r="J258" s="257" t="e">
        <f>#REF!+H258</f>
        <v>#REF!</v>
      </c>
      <c r="K258" s="257" t="e">
        <f>#REF!+I258</f>
        <v>#REF!</v>
      </c>
      <c r="L258" s="257" t="e">
        <f>#REF!+J258</f>
        <v>#REF!</v>
      </c>
      <c r="M258" s="257" t="e">
        <f>#REF!+L258</f>
        <v>#REF!</v>
      </c>
      <c r="N258" s="257" t="e">
        <f>#REF!+L258</f>
        <v>#REF!</v>
      </c>
      <c r="O258" s="257" t="e">
        <f>#REF!+M258</f>
        <v>#REF!</v>
      </c>
    </row>
    <row r="259" spans="1:15" ht="12.75" hidden="1" customHeight="1" x14ac:dyDescent="0.2">
      <c r="A259" s="259" t="s">
        <v>93</v>
      </c>
      <c r="B259" s="252" t="s">
        <v>130</v>
      </c>
      <c r="C259" s="252" t="s">
        <v>202</v>
      </c>
      <c r="D259" s="252" t="s">
        <v>212</v>
      </c>
      <c r="E259" s="260" t="s">
        <v>483</v>
      </c>
      <c r="F259" s="252" t="s">
        <v>94</v>
      </c>
      <c r="G259" s="257" t="e">
        <v>#REF!</v>
      </c>
      <c r="H259" s="257" t="e">
        <v>#REF!</v>
      </c>
      <c r="I259" s="257" t="e">
        <v>#REF!</v>
      </c>
      <c r="J259" s="257" t="e">
        <f>#REF!+H259</f>
        <v>#REF!</v>
      </c>
      <c r="K259" s="257" t="e">
        <f>#REF!+I259</f>
        <v>#REF!</v>
      </c>
      <c r="L259" s="257" t="e">
        <f>#REF!+J259</f>
        <v>#REF!</v>
      </c>
      <c r="M259" s="257" t="e">
        <f>#REF!+L259</f>
        <v>#REF!</v>
      </c>
      <c r="N259" s="257" t="e">
        <f>#REF!+L259</f>
        <v>#REF!</v>
      </c>
      <c r="O259" s="257" t="e">
        <f>#REF!+M259</f>
        <v>#REF!</v>
      </c>
    </row>
    <row r="260" spans="1:15" ht="12.75" hidden="1" customHeight="1" x14ac:dyDescent="0.2">
      <c r="A260" s="259" t="s">
        <v>103</v>
      </c>
      <c r="B260" s="252" t="s">
        <v>130</v>
      </c>
      <c r="C260" s="252" t="s">
        <v>202</v>
      </c>
      <c r="D260" s="252" t="s">
        <v>212</v>
      </c>
      <c r="E260" s="260" t="s">
        <v>483</v>
      </c>
      <c r="F260" s="252" t="s">
        <v>104</v>
      </c>
      <c r="G260" s="257" t="e">
        <v>#REF!</v>
      </c>
      <c r="H260" s="257" t="e">
        <v>#REF!</v>
      </c>
      <c r="I260" s="257" t="e">
        <v>#REF!</v>
      </c>
      <c r="J260" s="257" t="e">
        <f>#REF!+H260</f>
        <v>#REF!</v>
      </c>
      <c r="K260" s="257" t="e">
        <f>#REF!+I260</f>
        <v>#REF!</v>
      </c>
      <c r="L260" s="257" t="e">
        <f>#REF!+J260</f>
        <v>#REF!</v>
      </c>
      <c r="M260" s="257" t="e">
        <f>#REF!+L260</f>
        <v>#REF!</v>
      </c>
      <c r="N260" s="257" t="e">
        <f>#REF!+L260</f>
        <v>#REF!</v>
      </c>
      <c r="O260" s="257" t="e">
        <f>#REF!+M260</f>
        <v>#REF!</v>
      </c>
    </row>
    <row r="261" spans="1:15" ht="15" hidden="1" customHeight="1" x14ac:dyDescent="0.2">
      <c r="A261" s="259" t="s">
        <v>400</v>
      </c>
      <c r="B261" s="252" t="s">
        <v>130</v>
      </c>
      <c r="C261" s="252" t="s">
        <v>202</v>
      </c>
      <c r="D261" s="252" t="s">
        <v>212</v>
      </c>
      <c r="E261" s="260" t="s">
        <v>483</v>
      </c>
      <c r="F261" s="252" t="s">
        <v>106</v>
      </c>
      <c r="G261" s="257" t="e">
        <v>#REF!</v>
      </c>
      <c r="H261" s="257" t="e">
        <v>#REF!</v>
      </c>
      <c r="I261" s="257" t="e">
        <v>#REF!</v>
      </c>
      <c r="J261" s="257" t="e">
        <f>#REF!+H261</f>
        <v>#REF!</v>
      </c>
      <c r="K261" s="257" t="e">
        <f>#REF!+I261</f>
        <v>#REF!</v>
      </c>
      <c r="L261" s="257" t="e">
        <f>#REF!+J261</f>
        <v>#REF!</v>
      </c>
      <c r="M261" s="257" t="e">
        <f>#REF!+L261</f>
        <v>#REF!</v>
      </c>
      <c r="N261" s="257" t="e">
        <f>#REF!+L261</f>
        <v>#REF!</v>
      </c>
      <c r="O261" s="257" t="e">
        <f>#REF!+M261</f>
        <v>#REF!</v>
      </c>
    </row>
    <row r="262" spans="1:15" ht="12.75" hidden="1" customHeight="1" x14ac:dyDescent="0.2">
      <c r="A262" s="259" t="s">
        <v>404</v>
      </c>
      <c r="B262" s="252" t="s">
        <v>130</v>
      </c>
      <c r="C262" s="252" t="s">
        <v>202</v>
      </c>
      <c r="D262" s="252" t="s">
        <v>212</v>
      </c>
      <c r="E262" s="252" t="s">
        <v>62</v>
      </c>
      <c r="F262" s="252"/>
      <c r="G262" s="257">
        <v>-75293.119999999995</v>
      </c>
      <c r="H262" s="257">
        <v>-122351.31999999999</v>
      </c>
      <c r="I262" s="257">
        <v>-122351.31999999999</v>
      </c>
      <c r="J262" s="257" t="e">
        <f t="shared" ref="J262:O262" si="194">J263</f>
        <v>#REF!</v>
      </c>
      <c r="K262" s="257" t="e">
        <f>L263</f>
        <v>#REF!</v>
      </c>
      <c r="L262" s="257" t="e">
        <f t="shared" si="194"/>
        <v>#REF!</v>
      </c>
      <c r="M262" s="257" t="e">
        <f t="shared" si="194"/>
        <v>#REF!</v>
      </c>
      <c r="N262" s="257" t="e">
        <f t="shared" si="194"/>
        <v>#REF!</v>
      </c>
      <c r="O262" s="257" t="e">
        <f t="shared" si="194"/>
        <v>#REF!</v>
      </c>
    </row>
    <row r="263" spans="1:15" ht="27" hidden="1" customHeight="1" x14ac:dyDescent="0.2">
      <c r="A263" s="259" t="s">
        <v>422</v>
      </c>
      <c r="B263" s="252" t="s">
        <v>130</v>
      </c>
      <c r="C263" s="252" t="s">
        <v>202</v>
      </c>
      <c r="D263" s="252" t="s">
        <v>212</v>
      </c>
      <c r="E263" s="252" t="s">
        <v>431</v>
      </c>
      <c r="F263" s="252"/>
      <c r="G263" s="257">
        <v>-75293.119999999995</v>
      </c>
      <c r="H263" s="257">
        <v>-122351.31999999999</v>
      </c>
      <c r="I263" s="257">
        <v>-122351.31999999999</v>
      </c>
      <c r="J263" s="257" t="e">
        <f t="shared" ref="J263" si="195">J264+J265+J266+J267+J268+J269</f>
        <v>#REF!</v>
      </c>
      <c r="K263" s="257" t="e">
        <f>L264+L265+L266+L267+L268+L269</f>
        <v>#REF!</v>
      </c>
      <c r="L263" s="257" t="e">
        <f t="shared" ref="L263" si="196">L264+L265+L266+L267+L268+L269</f>
        <v>#REF!</v>
      </c>
      <c r="M263" s="257" t="e">
        <f t="shared" ref="M263:N263" si="197">M264+M265+M266+M267+M268+M269</f>
        <v>#REF!</v>
      </c>
      <c r="N263" s="257" t="e">
        <f t="shared" si="197"/>
        <v>#REF!</v>
      </c>
      <c r="O263" s="257" t="e">
        <f t="shared" ref="O263" si="198">O264+O265+O266+O267+O268+O269</f>
        <v>#REF!</v>
      </c>
    </row>
    <row r="264" spans="1:15" ht="12.75" hidden="1" customHeight="1" x14ac:dyDescent="0.2">
      <c r="A264" s="259" t="s">
        <v>95</v>
      </c>
      <c r="B264" s="252" t="s">
        <v>130</v>
      </c>
      <c r="C264" s="252" t="s">
        <v>202</v>
      </c>
      <c r="D264" s="252" t="s">
        <v>212</v>
      </c>
      <c r="E264" s="252" t="s">
        <v>431</v>
      </c>
      <c r="F264" s="252" t="s">
        <v>96</v>
      </c>
      <c r="G264" s="257">
        <v>-54241.919999999998</v>
      </c>
      <c r="H264" s="257">
        <v>-88143.12</v>
      </c>
      <c r="I264" s="257">
        <v>-88143.12</v>
      </c>
      <c r="J264" s="257" t="e">
        <f>#REF!+H264</f>
        <v>#REF!</v>
      </c>
      <c r="K264" s="257">
        <f t="shared" ref="K264:K269" si="199">G264+I264</f>
        <v>-142385.03999999998</v>
      </c>
      <c r="L264" s="257" t="e">
        <f t="shared" ref="L264:L269" si="200">I264+J264</f>
        <v>#REF!</v>
      </c>
      <c r="M264" s="257" t="e">
        <f t="shared" ref="M264:M269" si="201">I264+L264</f>
        <v>#REF!</v>
      </c>
      <c r="N264" s="257" t="e">
        <f t="shared" ref="N264:N269" si="202">J264+L264</f>
        <v>#REF!</v>
      </c>
      <c r="O264" s="257" t="e">
        <f t="shared" ref="O264:O269" si="203">L264+M264</f>
        <v>#REF!</v>
      </c>
    </row>
    <row r="265" spans="1:15" ht="12.75" hidden="1" customHeight="1" x14ac:dyDescent="0.2">
      <c r="A265" s="259" t="s">
        <v>97</v>
      </c>
      <c r="B265" s="252" t="s">
        <v>130</v>
      </c>
      <c r="C265" s="252" t="s">
        <v>202</v>
      </c>
      <c r="D265" s="252" t="s">
        <v>212</v>
      </c>
      <c r="E265" s="252" t="s">
        <v>431</v>
      </c>
      <c r="F265" s="252" t="s">
        <v>98</v>
      </c>
      <c r="G265" s="257">
        <v>-2251.1999999999998</v>
      </c>
      <c r="H265" s="257">
        <v>-3658.2</v>
      </c>
      <c r="I265" s="257">
        <v>-3658.2</v>
      </c>
      <c r="J265" s="257" t="e">
        <f>#REF!+H265</f>
        <v>#REF!</v>
      </c>
      <c r="K265" s="257">
        <f t="shared" si="199"/>
        <v>-5909.4</v>
      </c>
      <c r="L265" s="257" t="e">
        <f t="shared" si="200"/>
        <v>#REF!</v>
      </c>
      <c r="M265" s="257" t="e">
        <f t="shared" si="201"/>
        <v>#REF!</v>
      </c>
      <c r="N265" s="257" t="e">
        <f t="shared" si="202"/>
        <v>#REF!</v>
      </c>
      <c r="O265" s="257" t="e">
        <f t="shared" si="203"/>
        <v>#REF!</v>
      </c>
    </row>
    <row r="266" spans="1:15" ht="17.25" hidden="1" customHeight="1" x14ac:dyDescent="0.2">
      <c r="A266" s="259" t="s">
        <v>99</v>
      </c>
      <c r="B266" s="252" t="s">
        <v>130</v>
      </c>
      <c r="C266" s="252" t="s">
        <v>202</v>
      </c>
      <c r="D266" s="252" t="s">
        <v>212</v>
      </c>
      <c r="E266" s="252" t="s">
        <v>431</v>
      </c>
      <c r="F266" s="252" t="s">
        <v>100</v>
      </c>
      <c r="G266" s="257">
        <v>-1600</v>
      </c>
      <c r="H266" s="257">
        <v>-2600</v>
      </c>
      <c r="I266" s="257">
        <v>-2600</v>
      </c>
      <c r="J266" s="257" t="e">
        <f>#REF!+H266</f>
        <v>#REF!</v>
      </c>
      <c r="K266" s="257">
        <f t="shared" si="199"/>
        <v>-4200</v>
      </c>
      <c r="L266" s="257" t="e">
        <f t="shared" si="200"/>
        <v>#REF!</v>
      </c>
      <c r="M266" s="257" t="e">
        <f t="shared" si="201"/>
        <v>#REF!</v>
      </c>
      <c r="N266" s="257" t="e">
        <f t="shared" si="202"/>
        <v>#REF!</v>
      </c>
      <c r="O266" s="257" t="e">
        <f t="shared" si="203"/>
        <v>#REF!</v>
      </c>
    </row>
    <row r="267" spans="1:15" ht="21" hidden="1" customHeight="1" x14ac:dyDescent="0.2">
      <c r="A267" s="259" t="s">
        <v>93</v>
      </c>
      <c r="B267" s="252" t="s">
        <v>130</v>
      </c>
      <c r="C267" s="252" t="s">
        <v>202</v>
      </c>
      <c r="D267" s="252" t="s">
        <v>212</v>
      </c>
      <c r="E267" s="252" t="s">
        <v>431</v>
      </c>
      <c r="F267" s="252" t="s">
        <v>94</v>
      </c>
      <c r="G267" s="257">
        <v>-16000</v>
      </c>
      <c r="H267" s="257">
        <v>-26000</v>
      </c>
      <c r="I267" s="257">
        <v>-26000</v>
      </c>
      <c r="J267" s="257" t="e">
        <f>#REF!+H267</f>
        <v>#REF!</v>
      </c>
      <c r="K267" s="257">
        <f t="shared" si="199"/>
        <v>-42000</v>
      </c>
      <c r="L267" s="257" t="e">
        <f t="shared" si="200"/>
        <v>#REF!</v>
      </c>
      <c r="M267" s="257" t="e">
        <f t="shared" si="201"/>
        <v>#REF!</v>
      </c>
      <c r="N267" s="257" t="e">
        <f t="shared" si="202"/>
        <v>#REF!</v>
      </c>
      <c r="O267" s="257" t="e">
        <f t="shared" si="203"/>
        <v>#REF!</v>
      </c>
    </row>
    <row r="268" spans="1:15" ht="12.75" hidden="1" customHeight="1" x14ac:dyDescent="0.2">
      <c r="A268" s="259" t="s">
        <v>103</v>
      </c>
      <c r="B268" s="252" t="s">
        <v>130</v>
      </c>
      <c r="C268" s="252" t="s">
        <v>202</v>
      </c>
      <c r="D268" s="252" t="s">
        <v>212</v>
      </c>
      <c r="E268" s="252" t="s">
        <v>431</v>
      </c>
      <c r="F268" s="252" t="s">
        <v>104</v>
      </c>
      <c r="G268" s="257">
        <v>-248</v>
      </c>
      <c r="H268" s="257">
        <v>-403</v>
      </c>
      <c r="I268" s="257">
        <v>-403</v>
      </c>
      <c r="J268" s="257" t="e">
        <f>#REF!+H268</f>
        <v>#REF!</v>
      </c>
      <c r="K268" s="257">
        <f t="shared" si="199"/>
        <v>-651</v>
      </c>
      <c r="L268" s="257" t="e">
        <f t="shared" si="200"/>
        <v>#REF!</v>
      </c>
      <c r="M268" s="257" t="e">
        <f t="shared" si="201"/>
        <v>#REF!</v>
      </c>
      <c r="N268" s="257" t="e">
        <f t="shared" si="202"/>
        <v>#REF!</v>
      </c>
      <c r="O268" s="257" t="e">
        <f t="shared" si="203"/>
        <v>#REF!</v>
      </c>
    </row>
    <row r="269" spans="1:15" ht="12.75" hidden="1" customHeight="1" x14ac:dyDescent="0.2">
      <c r="A269" s="259" t="s">
        <v>400</v>
      </c>
      <c r="B269" s="252" t="s">
        <v>130</v>
      </c>
      <c r="C269" s="252" t="s">
        <v>202</v>
      </c>
      <c r="D269" s="252" t="s">
        <v>212</v>
      </c>
      <c r="E269" s="252" t="s">
        <v>431</v>
      </c>
      <c r="F269" s="252" t="s">
        <v>106</v>
      </c>
      <c r="G269" s="257">
        <v>-952</v>
      </c>
      <c r="H269" s="257">
        <v>-1547</v>
      </c>
      <c r="I269" s="257">
        <v>-1547</v>
      </c>
      <c r="J269" s="257" t="e">
        <f>#REF!+H269</f>
        <v>#REF!</v>
      </c>
      <c r="K269" s="257">
        <f t="shared" si="199"/>
        <v>-2499</v>
      </c>
      <c r="L269" s="257" t="e">
        <f t="shared" si="200"/>
        <v>#REF!</v>
      </c>
      <c r="M269" s="257" t="e">
        <f t="shared" si="201"/>
        <v>#REF!</v>
      </c>
      <c r="N269" s="257" t="e">
        <f t="shared" si="202"/>
        <v>#REF!</v>
      </c>
      <c r="O269" s="257" t="e">
        <f t="shared" si="203"/>
        <v>#REF!</v>
      </c>
    </row>
    <row r="270" spans="1:15" ht="30.75" customHeight="1" x14ac:dyDescent="0.2">
      <c r="A270" s="259" t="s">
        <v>977</v>
      </c>
      <c r="B270" s="252" t="s">
        <v>130</v>
      </c>
      <c r="C270" s="252" t="s">
        <v>202</v>
      </c>
      <c r="D270" s="252" t="s">
        <v>212</v>
      </c>
      <c r="E270" s="252"/>
      <c r="F270" s="252"/>
      <c r="G270" s="257">
        <v>23134.5</v>
      </c>
      <c r="H270" s="257">
        <v>2231.6</v>
      </c>
      <c r="I270" s="257">
        <v>16638.5</v>
      </c>
      <c r="J270" s="257">
        <f t="shared" ref="J270" si="204">J271+J275</f>
        <v>2472.13</v>
      </c>
      <c r="K270" s="257">
        <f>L271+L275</f>
        <v>18840.63</v>
      </c>
      <c r="L270" s="257">
        <f t="shared" ref="L270" si="205">L271+L275</f>
        <v>18840.63</v>
      </c>
      <c r="M270" s="257">
        <f t="shared" ref="M270:N270" si="206">M271+M275</f>
        <v>-790</v>
      </c>
      <c r="N270" s="257">
        <f t="shared" si="206"/>
        <v>18050.63</v>
      </c>
      <c r="O270" s="257">
        <f t="shared" ref="O270" si="207">O271+O275</f>
        <v>17850.63</v>
      </c>
    </row>
    <row r="271" spans="1:15" ht="15" customHeight="1" x14ac:dyDescent="0.2">
      <c r="A271" s="259" t="s">
        <v>913</v>
      </c>
      <c r="B271" s="252" t="s">
        <v>130</v>
      </c>
      <c r="C271" s="252" t="s">
        <v>202</v>
      </c>
      <c r="D271" s="252" t="s">
        <v>212</v>
      </c>
      <c r="E271" s="252" t="s">
        <v>848</v>
      </c>
      <c r="F271" s="252"/>
      <c r="G271" s="257">
        <v>2797</v>
      </c>
      <c r="H271" s="257">
        <v>388</v>
      </c>
      <c r="I271" s="257">
        <v>2797</v>
      </c>
      <c r="J271" s="257">
        <f t="shared" ref="J271" si="208">J272+J274+J273</f>
        <v>318</v>
      </c>
      <c r="K271" s="257">
        <f>L272+L274+L273</f>
        <v>3115</v>
      </c>
      <c r="L271" s="257">
        <f t="shared" ref="L271" si="209">L272+L274+L273</f>
        <v>3115</v>
      </c>
      <c r="M271" s="257">
        <f t="shared" ref="M271:N271" si="210">M272+M274+M273</f>
        <v>0</v>
      </c>
      <c r="N271" s="257">
        <f t="shared" si="210"/>
        <v>3115</v>
      </c>
      <c r="O271" s="257">
        <f t="shared" ref="O271" si="211">O272+O274+O273</f>
        <v>3115</v>
      </c>
    </row>
    <row r="272" spans="1:15" ht="12.75" customHeight="1" x14ac:dyDescent="0.2">
      <c r="A272" s="259" t="s">
        <v>95</v>
      </c>
      <c r="B272" s="252" t="s">
        <v>130</v>
      </c>
      <c r="C272" s="252" t="s">
        <v>202</v>
      </c>
      <c r="D272" s="252" t="s">
        <v>212</v>
      </c>
      <c r="E272" s="252" t="s">
        <v>848</v>
      </c>
      <c r="F272" s="252" t="s">
        <v>96</v>
      </c>
      <c r="G272" s="257">
        <v>2148</v>
      </c>
      <c r="H272" s="257">
        <v>244</v>
      </c>
      <c r="I272" s="257">
        <v>2148</v>
      </c>
      <c r="J272" s="257">
        <v>244</v>
      </c>
      <c r="K272" s="257">
        <f t="shared" ref="K272:K274" si="212">I272+J272</f>
        <v>2392</v>
      </c>
      <c r="L272" s="257">
        <v>2392</v>
      </c>
      <c r="M272" s="257">
        <v>0</v>
      </c>
      <c r="N272" s="257">
        <f>L272+M272</f>
        <v>2392</v>
      </c>
      <c r="O272" s="257">
        <v>2392</v>
      </c>
    </row>
    <row r="273" spans="1:15" ht="18.75" hidden="1" customHeight="1" x14ac:dyDescent="0.2">
      <c r="A273" s="259" t="s">
        <v>97</v>
      </c>
      <c r="B273" s="252" t="s">
        <v>130</v>
      </c>
      <c r="C273" s="252" t="s">
        <v>202</v>
      </c>
      <c r="D273" s="252" t="s">
        <v>212</v>
      </c>
      <c r="E273" s="252" t="s">
        <v>848</v>
      </c>
      <c r="F273" s="252" t="s">
        <v>98</v>
      </c>
      <c r="G273" s="257">
        <v>0</v>
      </c>
      <c r="H273" s="257">
        <v>70</v>
      </c>
      <c r="I273" s="257">
        <v>0</v>
      </c>
      <c r="J273" s="257">
        <v>0</v>
      </c>
      <c r="K273" s="257">
        <f t="shared" si="212"/>
        <v>0</v>
      </c>
      <c r="L273" s="257">
        <v>0</v>
      </c>
      <c r="M273" s="257">
        <v>0</v>
      </c>
      <c r="N273" s="257">
        <f>L273+M273</f>
        <v>0</v>
      </c>
      <c r="O273" s="257">
        <v>0</v>
      </c>
    </row>
    <row r="274" spans="1:15" ht="34.5" customHeight="1" x14ac:dyDescent="0.2">
      <c r="A274" s="273" t="s">
        <v>898</v>
      </c>
      <c r="B274" s="252" t="s">
        <v>130</v>
      </c>
      <c r="C274" s="252" t="s">
        <v>202</v>
      </c>
      <c r="D274" s="252" t="s">
        <v>212</v>
      </c>
      <c r="E274" s="252" t="s">
        <v>848</v>
      </c>
      <c r="F274" s="252" t="s">
        <v>896</v>
      </c>
      <c r="G274" s="257">
        <v>649</v>
      </c>
      <c r="H274" s="257">
        <v>74</v>
      </c>
      <c r="I274" s="257">
        <v>649</v>
      </c>
      <c r="J274" s="257">
        <v>74</v>
      </c>
      <c r="K274" s="257">
        <f t="shared" si="212"/>
        <v>723</v>
      </c>
      <c r="L274" s="257">
        <v>723</v>
      </c>
      <c r="M274" s="257">
        <v>0</v>
      </c>
      <c r="N274" s="257">
        <f>L274+M274</f>
        <v>723</v>
      </c>
      <c r="O274" s="257">
        <v>723</v>
      </c>
    </row>
    <row r="275" spans="1:15" ht="30" customHeight="1" x14ac:dyDescent="0.2">
      <c r="A275" s="416" t="s">
        <v>1079</v>
      </c>
      <c r="B275" s="252" t="s">
        <v>130</v>
      </c>
      <c r="C275" s="252" t="s">
        <v>202</v>
      </c>
      <c r="D275" s="252" t="s">
        <v>212</v>
      </c>
      <c r="E275" s="252"/>
      <c r="F275" s="252"/>
      <c r="G275" s="257">
        <v>20337.5</v>
      </c>
      <c r="H275" s="257">
        <v>1843.6</v>
      </c>
      <c r="I275" s="257">
        <v>13841.5</v>
      </c>
      <c r="J275" s="257">
        <f t="shared" ref="J275" si="213">J276+J277+J278+J279+J280+J281+J282+J284+J285+J287+J283</f>
        <v>2154.13</v>
      </c>
      <c r="K275" s="257">
        <f>L276+L277+L278+L279+L280+L281+L282+L284+L285+L287+L283</f>
        <v>15725.630000000001</v>
      </c>
      <c r="L275" s="257">
        <f t="shared" ref="L275" si="214">L276+L277+L278+L279+L280+L281+L282+L284+L285+L287+L283</f>
        <v>15725.630000000001</v>
      </c>
      <c r="M275" s="257">
        <f t="shared" ref="M275:O275" si="215">M276+M277+M278+M279+M280+M281+M282+M284+M285+M287+M283</f>
        <v>-790</v>
      </c>
      <c r="N275" s="257">
        <f t="shared" si="215"/>
        <v>14935.630000000001</v>
      </c>
      <c r="O275" s="257">
        <f t="shared" si="215"/>
        <v>14735.630000000001</v>
      </c>
    </row>
    <row r="276" spans="1:15" ht="15.75" customHeight="1" x14ac:dyDescent="0.2">
      <c r="A276" s="375" t="s">
        <v>897</v>
      </c>
      <c r="B276" s="252" t="s">
        <v>130</v>
      </c>
      <c r="C276" s="252" t="s">
        <v>202</v>
      </c>
      <c r="D276" s="252" t="s">
        <v>212</v>
      </c>
      <c r="E276" s="252" t="s">
        <v>846</v>
      </c>
      <c r="F276" s="252" t="s">
        <v>832</v>
      </c>
      <c r="G276" s="257">
        <v>5424</v>
      </c>
      <c r="H276" s="257">
        <v>617</v>
      </c>
      <c r="I276" s="257">
        <v>5424</v>
      </c>
      <c r="J276" s="257">
        <v>1858</v>
      </c>
      <c r="K276" s="257">
        <f t="shared" ref="K276:L286" si="216">I276+J276</f>
        <v>7282</v>
      </c>
      <c r="L276" s="257">
        <v>7282</v>
      </c>
      <c r="M276" s="257">
        <v>0</v>
      </c>
      <c r="N276" s="257">
        <f t="shared" ref="N276:N286" si="217">L276+M276</f>
        <v>7282</v>
      </c>
      <c r="O276" s="257">
        <v>7282</v>
      </c>
    </row>
    <row r="277" spans="1:15" ht="30" customHeight="1" x14ac:dyDescent="0.2">
      <c r="A277" s="375" t="s">
        <v>900</v>
      </c>
      <c r="B277" s="252" t="s">
        <v>130</v>
      </c>
      <c r="C277" s="252" t="s">
        <v>202</v>
      </c>
      <c r="D277" s="252" t="s">
        <v>212</v>
      </c>
      <c r="E277" s="252" t="s">
        <v>846</v>
      </c>
      <c r="F277" s="252" t="s">
        <v>899</v>
      </c>
      <c r="G277" s="257">
        <v>1639</v>
      </c>
      <c r="H277" s="257">
        <v>186</v>
      </c>
      <c r="I277" s="257">
        <v>1639</v>
      </c>
      <c r="J277" s="257">
        <v>560</v>
      </c>
      <c r="K277" s="257">
        <f t="shared" si="216"/>
        <v>2199</v>
      </c>
      <c r="L277" s="257">
        <v>2199</v>
      </c>
      <c r="M277" s="257">
        <v>0</v>
      </c>
      <c r="N277" s="257">
        <f t="shared" si="217"/>
        <v>2199</v>
      </c>
      <c r="O277" s="257">
        <v>2199</v>
      </c>
    </row>
    <row r="278" spans="1:15" ht="21" hidden="1" customHeight="1" x14ac:dyDescent="0.2">
      <c r="A278" s="375" t="s">
        <v>897</v>
      </c>
      <c r="B278" s="252" t="s">
        <v>130</v>
      </c>
      <c r="C278" s="252" t="s">
        <v>202</v>
      </c>
      <c r="D278" s="252" t="s">
        <v>212</v>
      </c>
      <c r="E278" s="252" t="s">
        <v>1257</v>
      </c>
      <c r="F278" s="252" t="s">
        <v>832</v>
      </c>
      <c r="G278" s="257">
        <v>1200</v>
      </c>
      <c r="H278" s="257">
        <v>0</v>
      </c>
      <c r="I278" s="257">
        <v>0</v>
      </c>
      <c r="J278" s="257">
        <v>0</v>
      </c>
      <c r="K278" s="257">
        <f t="shared" si="216"/>
        <v>0</v>
      </c>
      <c r="L278" s="257">
        <v>0</v>
      </c>
      <c r="M278" s="257">
        <v>0</v>
      </c>
      <c r="N278" s="257">
        <f t="shared" si="217"/>
        <v>0</v>
      </c>
      <c r="O278" s="257">
        <v>0</v>
      </c>
    </row>
    <row r="279" spans="1:15" ht="30" hidden="1" customHeight="1" x14ac:dyDescent="0.2">
      <c r="A279" s="375" t="s">
        <v>900</v>
      </c>
      <c r="B279" s="252" t="s">
        <v>130</v>
      </c>
      <c r="C279" s="252" t="s">
        <v>202</v>
      </c>
      <c r="D279" s="252" t="s">
        <v>212</v>
      </c>
      <c r="E279" s="252" t="s">
        <v>1257</v>
      </c>
      <c r="F279" s="252" t="s">
        <v>899</v>
      </c>
      <c r="G279" s="257">
        <v>362</v>
      </c>
      <c r="H279" s="257">
        <v>0</v>
      </c>
      <c r="I279" s="257">
        <v>0</v>
      </c>
      <c r="J279" s="257">
        <v>0</v>
      </c>
      <c r="K279" s="257">
        <f t="shared" si="216"/>
        <v>0</v>
      </c>
      <c r="L279" s="257">
        <v>0</v>
      </c>
      <c r="M279" s="257">
        <v>0</v>
      </c>
      <c r="N279" s="257">
        <f t="shared" si="217"/>
        <v>0</v>
      </c>
      <c r="O279" s="257">
        <v>0</v>
      </c>
    </row>
    <row r="280" spans="1:15" ht="12.75" customHeight="1" x14ac:dyDescent="0.2">
      <c r="A280" s="259" t="s">
        <v>952</v>
      </c>
      <c r="B280" s="252" t="s">
        <v>130</v>
      </c>
      <c r="C280" s="252" t="s">
        <v>202</v>
      </c>
      <c r="D280" s="252" t="s">
        <v>212</v>
      </c>
      <c r="E280" s="252" t="s">
        <v>846</v>
      </c>
      <c r="F280" s="252" t="s">
        <v>919</v>
      </c>
      <c r="G280" s="257">
        <v>200</v>
      </c>
      <c r="H280" s="257">
        <v>0</v>
      </c>
      <c r="I280" s="257">
        <v>200</v>
      </c>
      <c r="J280" s="257">
        <v>0</v>
      </c>
      <c r="K280" s="257">
        <f t="shared" si="216"/>
        <v>200</v>
      </c>
      <c r="L280" s="257">
        <v>200</v>
      </c>
      <c r="M280" s="257">
        <v>-50</v>
      </c>
      <c r="N280" s="257">
        <f t="shared" si="217"/>
        <v>150</v>
      </c>
      <c r="O280" s="257">
        <v>150</v>
      </c>
    </row>
    <row r="281" spans="1:15" ht="12.75" hidden="1" customHeight="1" x14ac:dyDescent="0.2">
      <c r="A281" s="259" t="s">
        <v>99</v>
      </c>
      <c r="B281" s="252" t="s">
        <v>130</v>
      </c>
      <c r="C281" s="252" t="s">
        <v>202</v>
      </c>
      <c r="D281" s="252" t="s">
        <v>212</v>
      </c>
      <c r="E281" s="252" t="s">
        <v>846</v>
      </c>
      <c r="F281" s="252" t="s">
        <v>100</v>
      </c>
      <c r="G281" s="257">
        <v>300</v>
      </c>
      <c r="H281" s="257">
        <v>0</v>
      </c>
      <c r="I281" s="257">
        <v>300</v>
      </c>
      <c r="J281" s="257">
        <v>-300</v>
      </c>
      <c r="K281" s="257">
        <f t="shared" si="216"/>
        <v>0</v>
      </c>
      <c r="L281" s="257">
        <v>0</v>
      </c>
      <c r="M281" s="257">
        <v>0</v>
      </c>
      <c r="N281" s="257">
        <f t="shared" si="217"/>
        <v>0</v>
      </c>
      <c r="O281" s="257">
        <v>0</v>
      </c>
    </row>
    <row r="282" spans="1:15" ht="12.75" customHeight="1" x14ac:dyDescent="0.2">
      <c r="A282" s="259" t="s">
        <v>93</v>
      </c>
      <c r="B282" s="252" t="s">
        <v>130</v>
      </c>
      <c r="C282" s="252" t="s">
        <v>202</v>
      </c>
      <c r="D282" s="252" t="s">
        <v>212</v>
      </c>
      <c r="E282" s="252" t="s">
        <v>846</v>
      </c>
      <c r="F282" s="252" t="s">
        <v>94</v>
      </c>
      <c r="G282" s="257">
        <v>1100</v>
      </c>
      <c r="H282" s="257">
        <v>-118</v>
      </c>
      <c r="I282" s="257">
        <v>1100</v>
      </c>
      <c r="J282" s="257">
        <v>300</v>
      </c>
      <c r="K282" s="257">
        <f t="shared" si="216"/>
        <v>1400</v>
      </c>
      <c r="L282" s="257">
        <v>1400</v>
      </c>
      <c r="M282" s="257">
        <v>-700</v>
      </c>
      <c r="N282" s="257">
        <f t="shared" si="217"/>
        <v>700</v>
      </c>
      <c r="O282" s="257">
        <v>500</v>
      </c>
    </row>
    <row r="283" spans="1:15" ht="12.75" hidden="1" customHeight="1" x14ac:dyDescent="0.2">
      <c r="A283" s="259" t="s">
        <v>1167</v>
      </c>
      <c r="B283" s="252" t="s">
        <v>130</v>
      </c>
      <c r="C283" s="252" t="s">
        <v>202</v>
      </c>
      <c r="D283" s="252" t="s">
        <v>212</v>
      </c>
      <c r="E283" s="252" t="s">
        <v>846</v>
      </c>
      <c r="F283" s="252" t="s">
        <v>1166</v>
      </c>
      <c r="G283" s="257">
        <v>0</v>
      </c>
      <c r="H283" s="257">
        <v>118</v>
      </c>
      <c r="I283" s="257">
        <v>0</v>
      </c>
      <c r="J283" s="257">
        <v>0</v>
      </c>
      <c r="K283" s="257">
        <f t="shared" si="216"/>
        <v>0</v>
      </c>
      <c r="L283" s="257">
        <v>0</v>
      </c>
      <c r="M283" s="257">
        <v>0</v>
      </c>
      <c r="N283" s="257">
        <f t="shared" si="217"/>
        <v>0</v>
      </c>
      <c r="O283" s="257">
        <v>0</v>
      </c>
    </row>
    <row r="284" spans="1:15" ht="12.75" customHeight="1" x14ac:dyDescent="0.2">
      <c r="A284" s="259" t="s">
        <v>103</v>
      </c>
      <c r="B284" s="252" t="s">
        <v>130</v>
      </c>
      <c r="C284" s="252" t="s">
        <v>202</v>
      </c>
      <c r="D284" s="252" t="s">
        <v>212</v>
      </c>
      <c r="E284" s="252" t="s">
        <v>846</v>
      </c>
      <c r="F284" s="252" t="s">
        <v>104</v>
      </c>
      <c r="G284" s="257">
        <v>350</v>
      </c>
      <c r="H284" s="257">
        <v>0</v>
      </c>
      <c r="I284" s="257">
        <v>350</v>
      </c>
      <c r="J284" s="257">
        <v>0</v>
      </c>
      <c r="K284" s="257">
        <f t="shared" si="216"/>
        <v>350</v>
      </c>
      <c r="L284" s="257">
        <v>50</v>
      </c>
      <c r="M284" s="257">
        <v>-40</v>
      </c>
      <c r="N284" s="257">
        <f t="shared" si="217"/>
        <v>10</v>
      </c>
      <c r="O284" s="257">
        <v>10</v>
      </c>
    </row>
    <row r="285" spans="1:15" ht="12.75" customHeight="1" x14ac:dyDescent="0.2">
      <c r="A285" s="259" t="s">
        <v>400</v>
      </c>
      <c r="B285" s="252" t="s">
        <v>130</v>
      </c>
      <c r="C285" s="252" t="s">
        <v>202</v>
      </c>
      <c r="D285" s="252" t="s">
        <v>212</v>
      </c>
      <c r="E285" s="252" t="s">
        <v>846</v>
      </c>
      <c r="F285" s="252" t="s">
        <v>106</v>
      </c>
      <c r="G285" s="257">
        <v>30</v>
      </c>
      <c r="H285" s="257">
        <v>0</v>
      </c>
      <c r="I285" s="257">
        <v>30</v>
      </c>
      <c r="J285" s="257">
        <v>0</v>
      </c>
      <c r="K285" s="257">
        <f t="shared" si="216"/>
        <v>30</v>
      </c>
      <c r="L285" s="257">
        <v>60</v>
      </c>
      <c r="M285" s="257">
        <v>0</v>
      </c>
      <c r="N285" s="257">
        <f t="shared" si="217"/>
        <v>60</v>
      </c>
      <c r="O285" s="257">
        <v>60</v>
      </c>
    </row>
    <row r="286" spans="1:15" ht="12.75" hidden="1" customHeight="1" x14ac:dyDescent="0.2">
      <c r="A286" s="259" t="s">
        <v>906</v>
      </c>
      <c r="B286" s="252" t="s">
        <v>130</v>
      </c>
      <c r="C286" s="252" t="s">
        <v>202</v>
      </c>
      <c r="D286" s="252" t="s">
        <v>212</v>
      </c>
      <c r="E286" s="252" t="s">
        <v>846</v>
      </c>
      <c r="F286" s="252" t="s">
        <v>905</v>
      </c>
      <c r="G286" s="257">
        <v>0</v>
      </c>
      <c r="H286" s="257">
        <v>0</v>
      </c>
      <c r="I286" s="257">
        <v>0</v>
      </c>
      <c r="J286" s="257">
        <f t="shared" ref="J286" si="218">H286+I286</f>
        <v>0</v>
      </c>
      <c r="K286" s="257">
        <f t="shared" si="216"/>
        <v>0</v>
      </c>
      <c r="L286" s="257">
        <f t="shared" si="216"/>
        <v>0</v>
      </c>
      <c r="M286" s="257">
        <f>L286+L286</f>
        <v>0</v>
      </c>
      <c r="N286" s="257">
        <f t="shared" si="217"/>
        <v>0</v>
      </c>
      <c r="O286" s="257">
        <f t="shared" ref="O286" si="219">M286+N286</f>
        <v>0</v>
      </c>
    </row>
    <row r="287" spans="1:15" ht="20.25" customHeight="1" x14ac:dyDescent="0.2">
      <c r="A287" s="259" t="s">
        <v>1081</v>
      </c>
      <c r="B287" s="252" t="s">
        <v>130</v>
      </c>
      <c r="C287" s="252" t="s">
        <v>202</v>
      </c>
      <c r="D287" s="252" t="s">
        <v>212</v>
      </c>
      <c r="E287" s="252" t="s">
        <v>1082</v>
      </c>
      <c r="F287" s="252"/>
      <c r="G287" s="257">
        <v>9732.5</v>
      </c>
      <c r="H287" s="257">
        <v>1040.5999999999999</v>
      </c>
      <c r="I287" s="257">
        <v>4798.5</v>
      </c>
      <c r="J287" s="257">
        <f t="shared" ref="J287" si="220">J289+J290+J291+J292</f>
        <v>-263.87</v>
      </c>
      <c r="K287" s="257">
        <f>L289+L290+L291+L292</f>
        <v>4534.63</v>
      </c>
      <c r="L287" s="257">
        <f t="shared" ref="L287" si="221">L289+L290+L291+L292</f>
        <v>4534.63</v>
      </c>
      <c r="M287" s="257">
        <f t="shared" ref="M287:N287" si="222">M289+M290+M291+M292</f>
        <v>0</v>
      </c>
      <c r="N287" s="257">
        <f t="shared" si="222"/>
        <v>4534.63</v>
      </c>
      <c r="O287" s="257">
        <f t="shared" ref="O287" si="223">O289+O290+O291+O292</f>
        <v>4534.63</v>
      </c>
    </row>
    <row r="288" spans="1:15" ht="12.75" hidden="1" customHeight="1" x14ac:dyDescent="0.2">
      <c r="A288" s="259" t="s">
        <v>95</v>
      </c>
      <c r="B288" s="252" t="s">
        <v>130</v>
      </c>
      <c r="C288" s="252" t="s">
        <v>202</v>
      </c>
      <c r="D288" s="252" t="s">
        <v>212</v>
      </c>
      <c r="E288" s="252" t="s">
        <v>847</v>
      </c>
      <c r="F288" s="252" t="s">
        <v>96</v>
      </c>
      <c r="G288" s="257">
        <v>-24664</v>
      </c>
      <c r="H288" s="257">
        <v>-40079</v>
      </c>
      <c r="I288" s="257">
        <v>-64743</v>
      </c>
      <c r="J288" s="257">
        <f t="shared" si="168"/>
        <v>-104822</v>
      </c>
      <c r="K288" s="257">
        <f t="shared" si="168"/>
        <v>-169565</v>
      </c>
      <c r="L288" s="257">
        <f t="shared" si="168"/>
        <v>-274387</v>
      </c>
      <c r="M288" s="257">
        <f>L288+L288</f>
        <v>-548774</v>
      </c>
      <c r="N288" s="257">
        <f>L288+M288</f>
        <v>-823161</v>
      </c>
      <c r="O288" s="257">
        <f t="shared" ref="O288" si="224">M288+N288</f>
        <v>-1371935</v>
      </c>
    </row>
    <row r="289" spans="1:15" ht="18" customHeight="1" x14ac:dyDescent="0.2">
      <c r="A289" s="375" t="s">
        <v>897</v>
      </c>
      <c r="B289" s="252" t="s">
        <v>130</v>
      </c>
      <c r="C289" s="252" t="s">
        <v>202</v>
      </c>
      <c r="D289" s="252" t="s">
        <v>212</v>
      </c>
      <c r="E289" s="252" t="s">
        <v>1083</v>
      </c>
      <c r="F289" s="252" t="s">
        <v>832</v>
      </c>
      <c r="G289" s="257">
        <v>3685.5</v>
      </c>
      <c r="H289" s="257">
        <v>-264.5</v>
      </c>
      <c r="I289" s="257">
        <v>3685.5</v>
      </c>
      <c r="J289" s="257">
        <v>-264.5</v>
      </c>
      <c r="K289" s="257">
        <f t="shared" si="168"/>
        <v>3421</v>
      </c>
      <c r="L289" s="257">
        <v>3421</v>
      </c>
      <c r="M289" s="257">
        <v>0</v>
      </c>
      <c r="N289" s="257">
        <f>L289+M289</f>
        <v>3421</v>
      </c>
      <c r="O289" s="257">
        <v>3421</v>
      </c>
    </row>
    <row r="290" spans="1:15" ht="30" customHeight="1" x14ac:dyDescent="0.2">
      <c r="A290" s="375" t="s">
        <v>900</v>
      </c>
      <c r="B290" s="252" t="s">
        <v>130</v>
      </c>
      <c r="C290" s="252" t="s">
        <v>202</v>
      </c>
      <c r="D290" s="252" t="s">
        <v>212</v>
      </c>
      <c r="E290" s="252" t="s">
        <v>1083</v>
      </c>
      <c r="F290" s="252" t="s">
        <v>899</v>
      </c>
      <c r="G290" s="257">
        <v>1113</v>
      </c>
      <c r="H290" s="257">
        <v>-80</v>
      </c>
      <c r="I290" s="257">
        <v>1113</v>
      </c>
      <c r="J290" s="257">
        <v>0.63</v>
      </c>
      <c r="K290" s="257">
        <f t="shared" si="168"/>
        <v>1113.6300000000001</v>
      </c>
      <c r="L290" s="257">
        <v>1113.6300000000001</v>
      </c>
      <c r="M290" s="257">
        <v>0</v>
      </c>
      <c r="N290" s="257">
        <f>L290+M290</f>
        <v>1113.6300000000001</v>
      </c>
      <c r="O290" s="257">
        <v>1113.6300000000001</v>
      </c>
    </row>
    <row r="291" spans="1:15" ht="16.5" hidden="1" customHeight="1" x14ac:dyDescent="0.2">
      <c r="A291" s="375" t="s">
        <v>897</v>
      </c>
      <c r="B291" s="252" t="s">
        <v>130</v>
      </c>
      <c r="C291" s="252" t="s">
        <v>202</v>
      </c>
      <c r="D291" s="252" t="s">
        <v>212</v>
      </c>
      <c r="E291" s="252" t="s">
        <v>1263</v>
      </c>
      <c r="F291" s="252" t="s">
        <v>832</v>
      </c>
      <c r="G291" s="257">
        <v>3790</v>
      </c>
      <c r="H291" s="257">
        <v>1062.8</v>
      </c>
      <c r="I291" s="257">
        <v>0</v>
      </c>
      <c r="J291" s="257">
        <v>0</v>
      </c>
      <c r="K291" s="257">
        <f t="shared" si="168"/>
        <v>0</v>
      </c>
      <c r="L291" s="257">
        <v>0</v>
      </c>
      <c r="M291" s="257">
        <v>0</v>
      </c>
      <c r="N291" s="257">
        <f>L291+M291</f>
        <v>0</v>
      </c>
      <c r="O291" s="257">
        <v>0</v>
      </c>
    </row>
    <row r="292" spans="1:15" ht="30" hidden="1" customHeight="1" x14ac:dyDescent="0.2">
      <c r="A292" s="375" t="s">
        <v>900</v>
      </c>
      <c r="B292" s="252" t="s">
        <v>130</v>
      </c>
      <c r="C292" s="252" t="s">
        <v>202</v>
      </c>
      <c r="D292" s="252" t="s">
        <v>212</v>
      </c>
      <c r="E292" s="252" t="s">
        <v>1263</v>
      </c>
      <c r="F292" s="252" t="s">
        <v>899</v>
      </c>
      <c r="G292" s="257">
        <v>1144</v>
      </c>
      <c r="H292" s="257">
        <v>322.3</v>
      </c>
      <c r="I292" s="257">
        <v>0</v>
      </c>
      <c r="J292" s="257">
        <v>0</v>
      </c>
      <c r="K292" s="257">
        <f t="shared" ref="K292" si="225">I292+J292</f>
        <v>0</v>
      </c>
      <c r="L292" s="257">
        <v>0</v>
      </c>
      <c r="M292" s="257">
        <v>0</v>
      </c>
      <c r="N292" s="257">
        <f>L292+M292</f>
        <v>0</v>
      </c>
      <c r="O292" s="257">
        <v>0</v>
      </c>
    </row>
    <row r="293" spans="1:15" ht="30" customHeight="1" x14ac:dyDescent="0.2">
      <c r="A293" s="259" t="s">
        <v>1205</v>
      </c>
      <c r="B293" s="252" t="s">
        <v>130</v>
      </c>
      <c r="C293" s="252" t="s">
        <v>202</v>
      </c>
      <c r="D293" s="252" t="s">
        <v>212</v>
      </c>
      <c r="E293" s="251" t="s">
        <v>1277</v>
      </c>
      <c r="F293" s="252"/>
      <c r="G293" s="257"/>
      <c r="H293" s="257"/>
      <c r="I293" s="257"/>
      <c r="J293" s="257"/>
      <c r="K293" s="257"/>
      <c r="L293" s="257">
        <f>L294+L295</f>
        <v>0</v>
      </c>
      <c r="M293" s="257">
        <f t="shared" ref="M293:O293" si="226">M294+M295</f>
        <v>3366.6</v>
      </c>
      <c r="N293" s="257">
        <f t="shared" si="226"/>
        <v>3366.6</v>
      </c>
      <c r="O293" s="257">
        <f t="shared" si="226"/>
        <v>3366.6</v>
      </c>
    </row>
    <row r="294" spans="1:15" ht="20.25" customHeight="1" x14ac:dyDescent="0.2">
      <c r="A294" s="259" t="s">
        <v>1276</v>
      </c>
      <c r="B294" s="252" t="s">
        <v>130</v>
      </c>
      <c r="C294" s="252" t="s">
        <v>392</v>
      </c>
      <c r="D294" s="252" t="s">
        <v>212</v>
      </c>
      <c r="E294" s="251" t="s">
        <v>1277</v>
      </c>
      <c r="F294" s="252" t="s">
        <v>137</v>
      </c>
      <c r="G294" s="257"/>
      <c r="H294" s="257"/>
      <c r="I294" s="257"/>
      <c r="J294" s="257"/>
      <c r="K294" s="257"/>
      <c r="L294" s="257">
        <v>0</v>
      </c>
      <c r="M294" s="257">
        <v>30</v>
      </c>
      <c r="N294" s="257">
        <f>L294+M294</f>
        <v>30</v>
      </c>
      <c r="O294" s="257">
        <v>30</v>
      </c>
    </row>
    <row r="295" spans="1:15" ht="20.25" customHeight="1" x14ac:dyDescent="0.2">
      <c r="A295" s="259" t="s">
        <v>93</v>
      </c>
      <c r="B295" s="252" t="s">
        <v>130</v>
      </c>
      <c r="C295" s="252" t="s">
        <v>392</v>
      </c>
      <c r="D295" s="252" t="s">
        <v>212</v>
      </c>
      <c r="E295" s="251" t="s">
        <v>1277</v>
      </c>
      <c r="F295" s="252" t="s">
        <v>94</v>
      </c>
      <c r="G295" s="257"/>
      <c r="H295" s="257"/>
      <c r="I295" s="257"/>
      <c r="J295" s="257"/>
      <c r="K295" s="257"/>
      <c r="L295" s="257">
        <v>0</v>
      </c>
      <c r="M295" s="257">
        <v>3336.6</v>
      </c>
      <c r="N295" s="257">
        <f>L295+M295</f>
        <v>3336.6</v>
      </c>
      <c r="O295" s="257">
        <v>3336.6</v>
      </c>
    </row>
    <row r="296" spans="1:15" ht="20.25" customHeight="1" x14ac:dyDescent="0.2">
      <c r="A296" s="259" t="s">
        <v>754</v>
      </c>
      <c r="B296" s="252" t="s">
        <v>130</v>
      </c>
      <c r="C296" s="252" t="s">
        <v>202</v>
      </c>
      <c r="D296" s="252" t="s">
        <v>212</v>
      </c>
      <c r="E296" s="251" t="s">
        <v>753</v>
      </c>
      <c r="F296" s="252"/>
      <c r="G296" s="257"/>
      <c r="H296" s="257"/>
      <c r="I296" s="257"/>
      <c r="J296" s="257"/>
      <c r="K296" s="257"/>
      <c r="L296" s="257">
        <f>L297</f>
        <v>0</v>
      </c>
      <c r="M296" s="257">
        <f t="shared" ref="M296:O296" si="227">M297</f>
        <v>184</v>
      </c>
      <c r="N296" s="257">
        <f t="shared" si="227"/>
        <v>184</v>
      </c>
      <c r="O296" s="257">
        <f t="shared" si="227"/>
        <v>184</v>
      </c>
    </row>
    <row r="297" spans="1:15" ht="20.25" customHeight="1" x14ac:dyDescent="0.2">
      <c r="A297" s="259" t="s">
        <v>93</v>
      </c>
      <c r="B297" s="252" t="s">
        <v>130</v>
      </c>
      <c r="C297" s="252" t="s">
        <v>202</v>
      </c>
      <c r="D297" s="252" t="s">
        <v>212</v>
      </c>
      <c r="E297" s="251" t="s">
        <v>753</v>
      </c>
      <c r="F297" s="252" t="s">
        <v>94</v>
      </c>
      <c r="G297" s="257"/>
      <c r="H297" s="257"/>
      <c r="I297" s="257"/>
      <c r="J297" s="257"/>
      <c r="K297" s="257"/>
      <c r="L297" s="257">
        <v>0</v>
      </c>
      <c r="M297" s="257">
        <v>184</v>
      </c>
      <c r="N297" s="257">
        <f t="shared" ref="N297" si="228">L297+M297</f>
        <v>184</v>
      </c>
      <c r="O297" s="257">
        <v>184</v>
      </c>
    </row>
    <row r="298" spans="1:15" s="430" customFormat="1" ht="15" customHeight="1" x14ac:dyDescent="0.2">
      <c r="A298" s="462" t="s">
        <v>65</v>
      </c>
      <c r="B298" s="250" t="s">
        <v>130</v>
      </c>
      <c r="C298" s="250">
        <v>10</v>
      </c>
      <c r="D298" s="250"/>
      <c r="E298" s="250"/>
      <c r="F298" s="250"/>
      <c r="G298" s="261">
        <v>2552.5</v>
      </c>
      <c r="H298" s="261">
        <v>-550.1</v>
      </c>
      <c r="I298" s="261">
        <v>2002.4</v>
      </c>
      <c r="J298" s="261">
        <f t="shared" ref="J298:M298" si="229">J299</f>
        <v>105.4</v>
      </c>
      <c r="K298" s="261">
        <f>L299</f>
        <v>6295.1</v>
      </c>
      <c r="L298" s="261">
        <f t="shared" ref="J298:O300" si="230">L299</f>
        <v>6295.1</v>
      </c>
      <c r="M298" s="261">
        <f t="shared" si="229"/>
        <v>-1634.2000000000007</v>
      </c>
      <c r="N298" s="261">
        <f t="shared" si="230"/>
        <v>4660.8999999999996</v>
      </c>
      <c r="O298" s="261">
        <f t="shared" si="230"/>
        <v>4660.8999999999996</v>
      </c>
    </row>
    <row r="299" spans="1:15" ht="17.25" customHeight="1" x14ac:dyDescent="0.2">
      <c r="A299" s="462" t="s">
        <v>278</v>
      </c>
      <c r="B299" s="250" t="s">
        <v>130</v>
      </c>
      <c r="C299" s="250">
        <v>10</v>
      </c>
      <c r="D299" s="250" t="s">
        <v>196</v>
      </c>
      <c r="E299" s="250"/>
      <c r="F299" s="250"/>
      <c r="G299" s="261">
        <v>2552.5</v>
      </c>
      <c r="H299" s="261">
        <v>-550.1</v>
      </c>
      <c r="I299" s="261">
        <v>2002.4</v>
      </c>
      <c r="J299" s="261">
        <f t="shared" si="230"/>
        <v>105.4</v>
      </c>
      <c r="K299" s="261">
        <f>L300</f>
        <v>6295.1</v>
      </c>
      <c r="L299" s="261">
        <f t="shared" si="230"/>
        <v>6295.1</v>
      </c>
      <c r="M299" s="261">
        <f t="shared" si="230"/>
        <v>-1634.2000000000007</v>
      </c>
      <c r="N299" s="261">
        <f t="shared" si="230"/>
        <v>4660.8999999999996</v>
      </c>
      <c r="O299" s="261">
        <f t="shared" si="230"/>
        <v>4660.8999999999996</v>
      </c>
    </row>
    <row r="300" spans="1:15" ht="51.75" customHeight="1" x14ac:dyDescent="0.2">
      <c r="A300" s="259" t="s">
        <v>938</v>
      </c>
      <c r="B300" s="252" t="s">
        <v>130</v>
      </c>
      <c r="C300" s="252" t="s">
        <v>214</v>
      </c>
      <c r="D300" s="252" t="s">
        <v>196</v>
      </c>
      <c r="E300" s="252" t="s">
        <v>1262</v>
      </c>
      <c r="F300" s="252"/>
      <c r="G300" s="257">
        <v>2552.5</v>
      </c>
      <c r="H300" s="257">
        <v>-550.1</v>
      </c>
      <c r="I300" s="257">
        <v>2002.4</v>
      </c>
      <c r="J300" s="257">
        <f t="shared" si="230"/>
        <v>105.4</v>
      </c>
      <c r="K300" s="257">
        <f>L301</f>
        <v>6295.1</v>
      </c>
      <c r="L300" s="257">
        <f>L301+L302</f>
        <v>6295.1</v>
      </c>
      <c r="M300" s="257">
        <f t="shared" ref="M300:O300" si="231">M301+M302</f>
        <v>-1634.2000000000007</v>
      </c>
      <c r="N300" s="257">
        <f t="shared" si="231"/>
        <v>4660.8999999999996</v>
      </c>
      <c r="O300" s="257">
        <f t="shared" si="231"/>
        <v>4660.8999999999996</v>
      </c>
    </row>
    <row r="301" spans="1:15" ht="20.25" customHeight="1" x14ac:dyDescent="0.2">
      <c r="A301" s="259" t="s">
        <v>136</v>
      </c>
      <c r="B301" s="252" t="s">
        <v>130</v>
      </c>
      <c r="C301" s="252" t="s">
        <v>214</v>
      </c>
      <c r="D301" s="252" t="s">
        <v>196</v>
      </c>
      <c r="E301" s="252" t="s">
        <v>939</v>
      </c>
      <c r="F301" s="252" t="s">
        <v>137</v>
      </c>
      <c r="G301" s="257">
        <v>2552.5</v>
      </c>
      <c r="H301" s="257">
        <v>-550.1</v>
      </c>
      <c r="I301" s="257">
        <v>2002.4</v>
      </c>
      <c r="J301" s="257">
        <v>105.4</v>
      </c>
      <c r="K301" s="257">
        <f t="shared" ref="K301" si="232">I301+J301</f>
        <v>2107.8000000000002</v>
      </c>
      <c r="L301" s="257">
        <v>6295.1</v>
      </c>
      <c r="M301" s="257">
        <v>-6295.1</v>
      </c>
      <c r="N301" s="257">
        <f>L301+M301</f>
        <v>0</v>
      </c>
      <c r="O301" s="257">
        <v>0</v>
      </c>
    </row>
    <row r="302" spans="1:15" s="430" customFormat="1" ht="21" customHeight="1" x14ac:dyDescent="0.2">
      <c r="A302" s="259" t="s">
        <v>136</v>
      </c>
      <c r="B302" s="252" t="s">
        <v>130</v>
      </c>
      <c r="C302" s="252" t="s">
        <v>214</v>
      </c>
      <c r="D302" s="252" t="s">
        <v>196</v>
      </c>
      <c r="E302" s="252" t="s">
        <v>1262</v>
      </c>
      <c r="F302" s="252" t="s">
        <v>137</v>
      </c>
      <c r="G302" s="275" t="e">
        <v>#REF!</v>
      </c>
      <c r="H302" s="275" t="e">
        <v>#REF!</v>
      </c>
      <c r="I302" s="275" t="e">
        <v>#REF!</v>
      </c>
      <c r="J302" s="275" t="e">
        <f>#REF!</f>
        <v>#REF!</v>
      </c>
      <c r="K302" s="275" t="e">
        <f>#REF!</f>
        <v>#REF!</v>
      </c>
      <c r="L302" s="257">
        <v>0</v>
      </c>
      <c r="M302" s="257">
        <v>4660.8999999999996</v>
      </c>
      <c r="N302" s="257">
        <f>L302+M302</f>
        <v>4660.8999999999996</v>
      </c>
      <c r="O302" s="257">
        <v>4660.8999999999996</v>
      </c>
    </row>
    <row r="303" spans="1:15" s="430" customFormat="1" ht="21" customHeight="1" x14ac:dyDescent="0.2">
      <c r="A303" s="462" t="s">
        <v>271</v>
      </c>
      <c r="B303" s="250" t="s">
        <v>130</v>
      </c>
      <c r="C303" s="250" t="s">
        <v>204</v>
      </c>
      <c r="D303" s="250"/>
      <c r="E303" s="249"/>
      <c r="F303" s="252"/>
      <c r="G303" s="275"/>
      <c r="H303" s="275"/>
      <c r="I303" s="275"/>
      <c r="J303" s="275"/>
      <c r="K303" s="275"/>
      <c r="L303" s="257">
        <f>L304</f>
        <v>0</v>
      </c>
      <c r="M303" s="257">
        <f t="shared" ref="M303:O304" si="233">M304</f>
        <v>16188</v>
      </c>
      <c r="N303" s="257">
        <f t="shared" si="233"/>
        <v>16188</v>
      </c>
      <c r="O303" s="257">
        <f t="shared" si="233"/>
        <v>16188</v>
      </c>
    </row>
    <row r="304" spans="1:15" s="430" customFormat="1" ht="21" customHeight="1" x14ac:dyDescent="0.2">
      <c r="A304" s="462" t="s">
        <v>143</v>
      </c>
      <c r="B304" s="250" t="s">
        <v>130</v>
      </c>
      <c r="C304" s="250" t="s">
        <v>204</v>
      </c>
      <c r="D304" s="250" t="s">
        <v>194</v>
      </c>
      <c r="E304" s="249"/>
      <c r="F304" s="252"/>
      <c r="G304" s="275"/>
      <c r="H304" s="275"/>
      <c r="I304" s="275"/>
      <c r="J304" s="275"/>
      <c r="K304" s="275"/>
      <c r="L304" s="257">
        <f>L305</f>
        <v>0</v>
      </c>
      <c r="M304" s="257">
        <f t="shared" si="233"/>
        <v>16188</v>
      </c>
      <c r="N304" s="257">
        <f t="shared" si="233"/>
        <v>16188</v>
      </c>
      <c r="O304" s="257">
        <f t="shared" si="233"/>
        <v>16188</v>
      </c>
    </row>
    <row r="305" spans="1:15" s="430" customFormat="1" ht="21" customHeight="1" x14ac:dyDescent="0.2">
      <c r="A305" s="462" t="s">
        <v>1076</v>
      </c>
      <c r="B305" s="250" t="s">
        <v>130</v>
      </c>
      <c r="C305" s="250" t="s">
        <v>204</v>
      </c>
      <c r="D305" s="250" t="s">
        <v>194</v>
      </c>
      <c r="E305" s="253" t="s">
        <v>781</v>
      </c>
      <c r="F305" s="252"/>
      <c r="G305" s="257">
        <v>19129</v>
      </c>
      <c r="H305" s="257">
        <v>-2941.2</v>
      </c>
      <c r="I305" s="257">
        <v>16589</v>
      </c>
      <c r="J305" s="257">
        <f t="shared" ref="J305" si="234">J306+J307+J308+J309</f>
        <v>-401</v>
      </c>
      <c r="K305" s="257">
        <f>L306+L307+L308+L309</f>
        <v>0</v>
      </c>
      <c r="L305" s="257">
        <f>L306+L307+L308+L311+L312+L313</f>
        <v>0</v>
      </c>
      <c r="M305" s="257">
        <f t="shared" ref="M305:O305" si="235">M306+M307+M308+M311+M312+M313</f>
        <v>16188</v>
      </c>
      <c r="N305" s="257">
        <f t="shared" si="235"/>
        <v>16188</v>
      </c>
      <c r="O305" s="257">
        <f t="shared" si="235"/>
        <v>16188</v>
      </c>
    </row>
    <row r="306" spans="1:15" s="430" customFormat="1" ht="30" customHeight="1" x14ac:dyDescent="0.2">
      <c r="A306" s="259" t="s">
        <v>76</v>
      </c>
      <c r="B306" s="252" t="s">
        <v>130</v>
      </c>
      <c r="C306" s="252" t="s">
        <v>204</v>
      </c>
      <c r="D306" s="252" t="s">
        <v>194</v>
      </c>
      <c r="E306" s="251" t="s">
        <v>781</v>
      </c>
      <c r="F306" s="252" t="s">
        <v>77</v>
      </c>
      <c r="G306" s="257">
        <v>14269</v>
      </c>
      <c r="H306" s="257">
        <v>-4561.2</v>
      </c>
      <c r="I306" s="257">
        <v>14269</v>
      </c>
      <c r="J306" s="257">
        <v>-401</v>
      </c>
      <c r="K306" s="257">
        <f t="shared" ref="K306:K309" si="236">I306+J306</f>
        <v>13868</v>
      </c>
      <c r="L306" s="257">
        <v>0</v>
      </c>
      <c r="M306" s="257">
        <v>13868</v>
      </c>
      <c r="N306" s="257">
        <f t="shared" ref="N306:N307" si="237">L306+M306</f>
        <v>13868</v>
      </c>
      <c r="O306" s="257">
        <v>13868</v>
      </c>
    </row>
    <row r="307" spans="1:15" s="430" customFormat="1" ht="30" hidden="1" customHeight="1" x14ac:dyDescent="0.2">
      <c r="A307" s="259" t="s">
        <v>76</v>
      </c>
      <c r="B307" s="252" t="s">
        <v>130</v>
      </c>
      <c r="C307" s="252" t="s">
        <v>204</v>
      </c>
      <c r="D307" s="252" t="s">
        <v>194</v>
      </c>
      <c r="E307" s="251" t="s">
        <v>1256</v>
      </c>
      <c r="F307" s="252" t="s">
        <v>77</v>
      </c>
      <c r="G307" s="257">
        <v>4160</v>
      </c>
      <c r="H307" s="257">
        <v>0</v>
      </c>
      <c r="I307" s="257">
        <v>0</v>
      </c>
      <c r="J307" s="257">
        <v>0</v>
      </c>
      <c r="K307" s="257">
        <f t="shared" si="236"/>
        <v>0</v>
      </c>
      <c r="L307" s="257">
        <v>0</v>
      </c>
      <c r="M307" s="257">
        <v>0</v>
      </c>
      <c r="N307" s="257">
        <f t="shared" si="237"/>
        <v>0</v>
      </c>
      <c r="O307" s="257">
        <v>0</v>
      </c>
    </row>
    <row r="308" spans="1:15" s="430" customFormat="1" ht="30" hidden="1" customHeight="1" x14ac:dyDescent="0.2">
      <c r="A308" s="259" t="s">
        <v>1242</v>
      </c>
      <c r="B308" s="252" t="s">
        <v>130</v>
      </c>
      <c r="C308" s="252" t="s">
        <v>204</v>
      </c>
      <c r="D308" s="252" t="s">
        <v>194</v>
      </c>
      <c r="E308" s="251" t="s">
        <v>1245</v>
      </c>
      <c r="F308" s="252"/>
      <c r="G308" s="257">
        <v>0</v>
      </c>
      <c r="H308" s="257">
        <v>1620</v>
      </c>
      <c r="I308" s="257">
        <v>1620</v>
      </c>
      <c r="J308" s="257">
        <v>0</v>
      </c>
      <c r="K308" s="257">
        <f t="shared" si="236"/>
        <v>1620</v>
      </c>
      <c r="L308" s="257">
        <f>L309+L310</f>
        <v>0</v>
      </c>
      <c r="M308" s="257">
        <f t="shared" ref="M308:O308" si="238">M309+M310</f>
        <v>0</v>
      </c>
      <c r="N308" s="257">
        <f t="shared" si="238"/>
        <v>0</v>
      </c>
      <c r="O308" s="257">
        <f t="shared" si="238"/>
        <v>0</v>
      </c>
    </row>
    <row r="309" spans="1:15" s="430" customFormat="1" ht="21" hidden="1" customHeight="1" x14ac:dyDescent="0.2">
      <c r="A309" s="259" t="s">
        <v>78</v>
      </c>
      <c r="B309" s="252" t="s">
        <v>130</v>
      </c>
      <c r="C309" s="252" t="s">
        <v>204</v>
      </c>
      <c r="D309" s="252" t="s">
        <v>194</v>
      </c>
      <c r="E309" s="251" t="s">
        <v>1245</v>
      </c>
      <c r="F309" s="252" t="s">
        <v>77</v>
      </c>
      <c r="G309" s="257">
        <v>700</v>
      </c>
      <c r="H309" s="257">
        <v>0</v>
      </c>
      <c r="I309" s="257">
        <v>700</v>
      </c>
      <c r="J309" s="257">
        <v>0</v>
      </c>
      <c r="K309" s="257">
        <f t="shared" si="236"/>
        <v>700</v>
      </c>
      <c r="L309" s="257">
        <v>0</v>
      </c>
      <c r="M309" s="257">
        <v>0</v>
      </c>
      <c r="N309" s="257">
        <f>L309+M309</f>
        <v>0</v>
      </c>
      <c r="O309" s="257">
        <v>0</v>
      </c>
    </row>
    <row r="310" spans="1:15" s="430" customFormat="1" ht="21" hidden="1" customHeight="1" x14ac:dyDescent="0.2">
      <c r="A310" s="259" t="s">
        <v>1069</v>
      </c>
      <c r="B310" s="252" t="s">
        <v>130</v>
      </c>
      <c r="C310" s="252" t="s">
        <v>204</v>
      </c>
      <c r="D310" s="252" t="s">
        <v>194</v>
      </c>
      <c r="E310" s="251" t="s">
        <v>1245</v>
      </c>
      <c r="F310" s="252" t="s">
        <v>77</v>
      </c>
      <c r="G310" s="275"/>
      <c r="H310" s="275"/>
      <c r="I310" s="275"/>
      <c r="J310" s="275"/>
      <c r="K310" s="275"/>
      <c r="L310" s="257">
        <v>0</v>
      </c>
      <c r="M310" s="257">
        <v>0</v>
      </c>
      <c r="N310" s="257">
        <f>L310+M310</f>
        <v>0</v>
      </c>
      <c r="O310" s="257">
        <v>0</v>
      </c>
    </row>
    <row r="311" spans="1:15" s="430" customFormat="1" ht="32.25" customHeight="1" x14ac:dyDescent="0.2">
      <c r="A311" s="259" t="s">
        <v>76</v>
      </c>
      <c r="B311" s="252" t="s">
        <v>130</v>
      </c>
      <c r="C311" s="252" t="s">
        <v>204</v>
      </c>
      <c r="D311" s="252" t="s">
        <v>194</v>
      </c>
      <c r="E311" s="251" t="s">
        <v>1078</v>
      </c>
      <c r="F311" s="252" t="s">
        <v>77</v>
      </c>
      <c r="G311" s="275"/>
      <c r="H311" s="275"/>
      <c r="I311" s="275"/>
      <c r="J311" s="275"/>
      <c r="K311" s="275"/>
      <c r="L311" s="257">
        <v>0</v>
      </c>
      <c r="M311" s="257">
        <v>1620</v>
      </c>
      <c r="N311" s="257">
        <f t="shared" ref="N311:N313" si="239">L311+M311</f>
        <v>1620</v>
      </c>
      <c r="O311" s="257">
        <v>1620</v>
      </c>
    </row>
    <row r="312" spans="1:15" s="430" customFormat="1" ht="32.25" hidden="1" customHeight="1" x14ac:dyDescent="0.2">
      <c r="A312" s="259" t="s">
        <v>1042</v>
      </c>
      <c r="B312" s="252" t="s">
        <v>130</v>
      </c>
      <c r="C312" s="252" t="s">
        <v>204</v>
      </c>
      <c r="D312" s="252" t="s">
        <v>194</v>
      </c>
      <c r="E312" s="251" t="s">
        <v>1261</v>
      </c>
      <c r="F312" s="252" t="s">
        <v>77</v>
      </c>
      <c r="G312" s="275"/>
      <c r="H312" s="275"/>
      <c r="I312" s="275"/>
      <c r="J312" s="275"/>
      <c r="K312" s="275"/>
      <c r="L312" s="257">
        <v>0</v>
      </c>
      <c r="M312" s="257">
        <v>0</v>
      </c>
      <c r="N312" s="257">
        <f t="shared" si="239"/>
        <v>0</v>
      </c>
      <c r="O312" s="257">
        <v>0</v>
      </c>
    </row>
    <row r="313" spans="1:15" s="430" customFormat="1" ht="21" customHeight="1" x14ac:dyDescent="0.2">
      <c r="A313" s="259" t="s">
        <v>537</v>
      </c>
      <c r="B313" s="252" t="s">
        <v>130</v>
      </c>
      <c r="C313" s="252" t="s">
        <v>204</v>
      </c>
      <c r="D313" s="252" t="s">
        <v>194</v>
      </c>
      <c r="E313" s="251" t="s">
        <v>781</v>
      </c>
      <c r="F313" s="252" t="s">
        <v>79</v>
      </c>
      <c r="G313" s="275"/>
      <c r="H313" s="275"/>
      <c r="I313" s="275"/>
      <c r="J313" s="275"/>
      <c r="K313" s="275"/>
      <c r="L313" s="257">
        <v>0</v>
      </c>
      <c r="M313" s="257">
        <v>700</v>
      </c>
      <c r="N313" s="257">
        <f t="shared" si="239"/>
        <v>700</v>
      </c>
      <c r="O313" s="257">
        <v>700</v>
      </c>
    </row>
    <row r="314" spans="1:15" s="428" customFormat="1" ht="33" customHeight="1" x14ac:dyDescent="0.2">
      <c r="A314" s="559" t="s">
        <v>413</v>
      </c>
      <c r="B314" s="560"/>
      <c r="C314" s="560"/>
      <c r="D314" s="560"/>
      <c r="E314" s="560"/>
      <c r="F314" s="561"/>
      <c r="G314" s="448">
        <v>45153.4</v>
      </c>
      <c r="H314" s="448">
        <v>18299.367186999996</v>
      </c>
      <c r="I314" s="448">
        <v>39913.299999999996</v>
      </c>
      <c r="J314" s="448" t="e">
        <f>J315+J405+J392+J402</f>
        <v>#REF!</v>
      </c>
      <c r="K314" s="448">
        <f>L315+L405+L392+L402</f>
        <v>47205</v>
      </c>
      <c r="L314" s="448">
        <f>L315+L405+L392</f>
        <v>47205</v>
      </c>
      <c r="M314" s="448">
        <f t="shared" ref="M314:O314" si="240">M315+M405+M392</f>
        <v>-459.70000000000056</v>
      </c>
      <c r="N314" s="448">
        <f t="shared" si="240"/>
        <v>46745.3</v>
      </c>
      <c r="O314" s="448">
        <f t="shared" si="240"/>
        <v>46587.3</v>
      </c>
    </row>
    <row r="315" spans="1:15" s="430" customFormat="1" ht="14.25" x14ac:dyDescent="0.2">
      <c r="A315" s="462" t="s">
        <v>72</v>
      </c>
      <c r="B315" s="250" t="s">
        <v>343</v>
      </c>
      <c r="C315" s="250" t="s">
        <v>190</v>
      </c>
      <c r="D315" s="250"/>
      <c r="E315" s="250"/>
      <c r="F315" s="250"/>
      <c r="G315" s="275">
        <v>10844.4</v>
      </c>
      <c r="H315" s="275">
        <v>3184.2</v>
      </c>
      <c r="I315" s="275">
        <v>9670.2000000000007</v>
      </c>
      <c r="J315" s="275" t="e">
        <f>J316+J343+J384</f>
        <v>#REF!</v>
      </c>
      <c r="K315" s="275">
        <f>L316+L343+L384</f>
        <v>15282.5</v>
      </c>
      <c r="L315" s="275">
        <f>L316+L343+L384</f>
        <v>15282.5</v>
      </c>
      <c r="M315" s="275">
        <f>M316+M343+M384</f>
        <v>-356.7</v>
      </c>
      <c r="N315" s="275">
        <f>N316+N343+N384</f>
        <v>14925.8</v>
      </c>
      <c r="O315" s="275">
        <f>O316+O343+O384</f>
        <v>14767.8</v>
      </c>
    </row>
    <row r="316" spans="1:15" s="430" customFormat="1" ht="33.75" customHeight="1" x14ac:dyDescent="0.2">
      <c r="A316" s="462" t="s">
        <v>195</v>
      </c>
      <c r="B316" s="250" t="s">
        <v>343</v>
      </c>
      <c r="C316" s="250" t="s">
        <v>312</v>
      </c>
      <c r="D316" s="250" t="s">
        <v>196</v>
      </c>
      <c r="E316" s="250"/>
      <c r="F316" s="250"/>
      <c r="G316" s="261">
        <v>2847.4</v>
      </c>
      <c r="H316" s="261">
        <v>230.20000000000002</v>
      </c>
      <c r="I316" s="261">
        <v>2323.1999999999998</v>
      </c>
      <c r="J316" s="261" t="e">
        <f t="shared" ref="J316" si="241">J330+J338</f>
        <v>#REF!</v>
      </c>
      <c r="K316" s="261">
        <f>L330+L338</f>
        <v>2487.9</v>
      </c>
      <c r="L316" s="261">
        <f t="shared" ref="L316" si="242">L330+L338</f>
        <v>2487.9</v>
      </c>
      <c r="M316" s="261">
        <f t="shared" ref="M316:N316" si="243">M330+M338</f>
        <v>-261.7</v>
      </c>
      <c r="N316" s="261">
        <f t="shared" si="243"/>
        <v>2226.1999999999998</v>
      </c>
      <c r="O316" s="261">
        <f t="shared" ref="O316" si="244">O330+O338</f>
        <v>2226.1999999999998</v>
      </c>
    </row>
    <row r="317" spans="1:15" s="430" customFormat="1" ht="26.25" hidden="1" customHeight="1" x14ac:dyDescent="0.2">
      <c r="A317" s="259" t="s">
        <v>123</v>
      </c>
      <c r="B317" s="252" t="s">
        <v>343</v>
      </c>
      <c r="C317" s="271" t="s">
        <v>312</v>
      </c>
      <c r="D317" s="252" t="s">
        <v>196</v>
      </c>
      <c r="E317" s="260" t="s">
        <v>332</v>
      </c>
      <c r="F317" s="271"/>
      <c r="G317" s="257">
        <v>-21088</v>
      </c>
      <c r="H317" s="257">
        <v>-34268</v>
      </c>
      <c r="I317" s="257">
        <v>-34268</v>
      </c>
      <c r="J317" s="257" t="e">
        <f t="shared" ref="J317:O317" si="245">J318</f>
        <v>#REF!</v>
      </c>
      <c r="K317" s="257" t="e">
        <f>L318</f>
        <v>#REF!</v>
      </c>
      <c r="L317" s="257" t="e">
        <f t="shared" si="245"/>
        <v>#REF!</v>
      </c>
      <c r="M317" s="257" t="e">
        <f t="shared" si="245"/>
        <v>#REF!</v>
      </c>
      <c r="N317" s="257" t="e">
        <f t="shared" si="245"/>
        <v>#REF!</v>
      </c>
      <c r="O317" s="257" t="e">
        <f t="shared" si="245"/>
        <v>#REF!</v>
      </c>
    </row>
    <row r="318" spans="1:15" s="430" customFormat="1" ht="15.75" hidden="1" customHeight="1" x14ac:dyDescent="0.2">
      <c r="A318" s="259" t="s">
        <v>315</v>
      </c>
      <c r="B318" s="252" t="s">
        <v>343</v>
      </c>
      <c r="C318" s="271" t="s">
        <v>312</v>
      </c>
      <c r="D318" s="252" t="s">
        <v>196</v>
      </c>
      <c r="E318" s="260" t="s">
        <v>334</v>
      </c>
      <c r="F318" s="252"/>
      <c r="G318" s="257">
        <v>-21088</v>
      </c>
      <c r="H318" s="257">
        <v>-34268</v>
      </c>
      <c r="I318" s="257">
        <v>-34268</v>
      </c>
      <c r="J318" s="257" t="e">
        <f t="shared" ref="J318" si="246">J319+J320+J321+J322</f>
        <v>#REF!</v>
      </c>
      <c r="K318" s="257" t="e">
        <f>L319+L320+L321+L322</f>
        <v>#REF!</v>
      </c>
      <c r="L318" s="257" t="e">
        <f t="shared" ref="L318" si="247">L319+L320+L321+L322</f>
        <v>#REF!</v>
      </c>
      <c r="M318" s="257" t="e">
        <f t="shared" ref="M318:N318" si="248">M319+M320+M321+M322</f>
        <v>#REF!</v>
      </c>
      <c r="N318" s="257" t="e">
        <f t="shared" si="248"/>
        <v>#REF!</v>
      </c>
      <c r="O318" s="257" t="e">
        <f t="shared" ref="O318" si="249">O319+O320+O321+O322</f>
        <v>#REF!</v>
      </c>
    </row>
    <row r="319" spans="1:15" s="430" customFormat="1" hidden="1" x14ac:dyDescent="0.2">
      <c r="A319" s="259" t="s">
        <v>95</v>
      </c>
      <c r="B319" s="252" t="s">
        <v>343</v>
      </c>
      <c r="C319" s="271" t="s">
        <v>312</v>
      </c>
      <c r="D319" s="252" t="s">
        <v>196</v>
      </c>
      <c r="E319" s="260" t="s">
        <v>334</v>
      </c>
      <c r="F319" s="252" t="s">
        <v>96</v>
      </c>
      <c r="G319" s="257">
        <v>-17760</v>
      </c>
      <c r="H319" s="257">
        <v>-28860</v>
      </c>
      <c r="I319" s="257">
        <v>-28860</v>
      </c>
      <c r="J319" s="257" t="e">
        <f>#REF!+H319</f>
        <v>#REF!</v>
      </c>
      <c r="K319" s="257">
        <f t="shared" ref="K319:K322" si="250">G319+I319</f>
        <v>-46620</v>
      </c>
      <c r="L319" s="257" t="e">
        <f>I319+J319</f>
        <v>#REF!</v>
      </c>
      <c r="M319" s="257" t="e">
        <f>I319+L319</f>
        <v>#REF!</v>
      </c>
      <c r="N319" s="257" t="e">
        <f>J319+L319</f>
        <v>#REF!</v>
      </c>
      <c r="O319" s="257" t="e">
        <f>L319+M319</f>
        <v>#REF!</v>
      </c>
    </row>
    <row r="320" spans="1:15" s="430" customFormat="1" ht="16.5" hidden="1" customHeight="1" x14ac:dyDescent="0.2">
      <c r="A320" s="259" t="s">
        <v>97</v>
      </c>
      <c r="B320" s="252" t="s">
        <v>343</v>
      </c>
      <c r="C320" s="271" t="s">
        <v>312</v>
      </c>
      <c r="D320" s="252" t="s">
        <v>196</v>
      </c>
      <c r="E320" s="260" t="s">
        <v>334</v>
      </c>
      <c r="F320" s="252" t="s">
        <v>98</v>
      </c>
      <c r="G320" s="257">
        <v>-808</v>
      </c>
      <c r="H320" s="257">
        <v>-1313</v>
      </c>
      <c r="I320" s="257">
        <v>-1313</v>
      </c>
      <c r="J320" s="257" t="e">
        <f>#REF!+H320</f>
        <v>#REF!</v>
      </c>
      <c r="K320" s="257">
        <f t="shared" si="250"/>
        <v>-2121</v>
      </c>
      <c r="L320" s="257" t="e">
        <f>I320+J320</f>
        <v>#REF!</v>
      </c>
      <c r="M320" s="257" t="e">
        <f>I320+L320</f>
        <v>#REF!</v>
      </c>
      <c r="N320" s="257" t="e">
        <f>J320+L320</f>
        <v>#REF!</v>
      </c>
      <c r="O320" s="257" t="e">
        <f>L320+M320</f>
        <v>#REF!</v>
      </c>
    </row>
    <row r="321" spans="1:15" s="430" customFormat="1" ht="15" hidden="1" customHeight="1" x14ac:dyDescent="0.2">
      <c r="A321" s="259" t="s">
        <v>99</v>
      </c>
      <c r="B321" s="252" t="s">
        <v>343</v>
      </c>
      <c r="C321" s="271" t="s">
        <v>312</v>
      </c>
      <c r="D321" s="252" t="s">
        <v>196</v>
      </c>
      <c r="E321" s="260" t="s">
        <v>334</v>
      </c>
      <c r="F321" s="252" t="s">
        <v>100</v>
      </c>
      <c r="G321" s="257">
        <v>-2360</v>
      </c>
      <c r="H321" s="257">
        <v>-3835</v>
      </c>
      <c r="I321" s="257">
        <v>-3835</v>
      </c>
      <c r="J321" s="257" t="e">
        <f>#REF!+H321</f>
        <v>#REF!</v>
      </c>
      <c r="K321" s="257">
        <f t="shared" si="250"/>
        <v>-6195</v>
      </c>
      <c r="L321" s="257" t="e">
        <f>I321+J321</f>
        <v>#REF!</v>
      </c>
      <c r="M321" s="257" t="e">
        <f>I321+L321</f>
        <v>#REF!</v>
      </c>
      <c r="N321" s="257" t="e">
        <f>J321+L321</f>
        <v>#REF!</v>
      </c>
      <c r="O321" s="257" t="e">
        <f>L321+M321</f>
        <v>#REF!</v>
      </c>
    </row>
    <row r="322" spans="1:15" s="430" customFormat="1" ht="18.75" hidden="1" customHeight="1" x14ac:dyDescent="0.2">
      <c r="A322" s="259" t="s">
        <v>93</v>
      </c>
      <c r="B322" s="252" t="s">
        <v>343</v>
      </c>
      <c r="C322" s="271" t="s">
        <v>312</v>
      </c>
      <c r="D322" s="252" t="s">
        <v>196</v>
      </c>
      <c r="E322" s="260" t="s">
        <v>334</v>
      </c>
      <c r="F322" s="252" t="s">
        <v>94</v>
      </c>
      <c r="G322" s="257">
        <v>-160</v>
      </c>
      <c r="H322" s="257">
        <v>-260</v>
      </c>
      <c r="I322" s="257">
        <v>-260</v>
      </c>
      <c r="J322" s="257" t="e">
        <f>#REF!+H322</f>
        <v>#REF!</v>
      </c>
      <c r="K322" s="257">
        <f t="shared" si="250"/>
        <v>-420</v>
      </c>
      <c r="L322" s="257" t="e">
        <f>I322+J322</f>
        <v>#REF!</v>
      </c>
      <c r="M322" s="257" t="e">
        <f>I322+L322</f>
        <v>#REF!</v>
      </c>
      <c r="N322" s="257" t="e">
        <f>J322+L322</f>
        <v>#REF!</v>
      </c>
      <c r="O322" s="257" t="e">
        <f>L322+M322</f>
        <v>#REF!</v>
      </c>
    </row>
    <row r="323" spans="1:15" s="430" customFormat="1" ht="16.5" hidden="1" customHeight="1" x14ac:dyDescent="0.2">
      <c r="A323" s="259" t="s">
        <v>973</v>
      </c>
      <c r="B323" s="252" t="s">
        <v>343</v>
      </c>
      <c r="C323" s="271" t="s">
        <v>312</v>
      </c>
      <c r="D323" s="252" t="s">
        <v>196</v>
      </c>
      <c r="E323" s="260" t="s">
        <v>462</v>
      </c>
      <c r="F323" s="271"/>
      <c r="G323" s="257" t="e">
        <v>#REF!</v>
      </c>
      <c r="H323" s="257" t="e">
        <v>#REF!</v>
      </c>
      <c r="I323" s="257" t="e">
        <v>#REF!</v>
      </c>
      <c r="J323" s="257" t="e">
        <f t="shared" ref="J323:M324" si="251">J324</f>
        <v>#REF!</v>
      </c>
      <c r="K323" s="257" t="e">
        <f>L324</f>
        <v>#REF!</v>
      </c>
      <c r="L323" s="257" t="e">
        <f t="shared" ref="L323:O324" si="252">L324</f>
        <v>#REF!</v>
      </c>
      <c r="M323" s="257" t="e">
        <f t="shared" si="251"/>
        <v>#REF!</v>
      </c>
      <c r="N323" s="257" t="e">
        <f t="shared" si="252"/>
        <v>#REF!</v>
      </c>
      <c r="O323" s="257" t="e">
        <f t="shared" si="252"/>
        <v>#REF!</v>
      </c>
    </row>
    <row r="324" spans="1:15" s="430" customFormat="1" ht="27" hidden="1" customHeight="1" x14ac:dyDescent="0.2">
      <c r="A324" s="259" t="s">
        <v>991</v>
      </c>
      <c r="B324" s="252" t="s">
        <v>343</v>
      </c>
      <c r="C324" s="271" t="s">
        <v>312</v>
      </c>
      <c r="D324" s="252" t="s">
        <v>196</v>
      </c>
      <c r="E324" s="260" t="s">
        <v>463</v>
      </c>
      <c r="F324" s="252"/>
      <c r="G324" s="257" t="e">
        <v>#REF!</v>
      </c>
      <c r="H324" s="257" t="e">
        <v>#REF!</v>
      </c>
      <c r="I324" s="257" t="e">
        <v>#REF!</v>
      </c>
      <c r="J324" s="257" t="e">
        <f t="shared" si="251"/>
        <v>#REF!</v>
      </c>
      <c r="K324" s="257" t="e">
        <f>L325</f>
        <v>#REF!</v>
      </c>
      <c r="L324" s="257" t="e">
        <f t="shared" si="252"/>
        <v>#REF!</v>
      </c>
      <c r="M324" s="257" t="e">
        <f t="shared" si="252"/>
        <v>#REF!</v>
      </c>
      <c r="N324" s="257" t="e">
        <f t="shared" si="252"/>
        <v>#REF!</v>
      </c>
      <c r="O324" s="257" t="e">
        <f t="shared" si="252"/>
        <v>#REF!</v>
      </c>
    </row>
    <row r="325" spans="1:15" s="430" customFormat="1" ht="27.75" hidden="1" customHeight="1" x14ac:dyDescent="0.2">
      <c r="A325" s="259" t="s">
        <v>992</v>
      </c>
      <c r="B325" s="252" t="s">
        <v>343</v>
      </c>
      <c r="C325" s="271" t="s">
        <v>312</v>
      </c>
      <c r="D325" s="252" t="s">
        <v>196</v>
      </c>
      <c r="E325" s="260" t="s">
        <v>484</v>
      </c>
      <c r="F325" s="252"/>
      <c r="G325" s="257" t="e">
        <v>#REF!</v>
      </c>
      <c r="H325" s="257" t="e">
        <v>#REF!</v>
      </c>
      <c r="I325" s="257" t="e">
        <v>#REF!</v>
      </c>
      <c r="J325" s="257" t="e">
        <f t="shared" ref="J325" si="253">J326+J327+J328+J329</f>
        <v>#REF!</v>
      </c>
      <c r="K325" s="257" t="e">
        <f>L326+L327+L328+L329</f>
        <v>#REF!</v>
      </c>
      <c r="L325" s="257" t="e">
        <f t="shared" ref="L325" si="254">L326+L327+L328+L329</f>
        <v>#REF!</v>
      </c>
      <c r="M325" s="257" t="e">
        <f t="shared" ref="M325:N325" si="255">M326+M327+M328+M329</f>
        <v>#REF!</v>
      </c>
      <c r="N325" s="257" t="e">
        <f t="shared" si="255"/>
        <v>#REF!</v>
      </c>
      <c r="O325" s="257" t="e">
        <f t="shared" ref="O325" si="256">O326+O327+O328+O329</f>
        <v>#REF!</v>
      </c>
    </row>
    <row r="326" spans="1:15" s="430" customFormat="1" ht="17.25" hidden="1" customHeight="1" x14ac:dyDescent="0.2">
      <c r="A326" s="259" t="s">
        <v>95</v>
      </c>
      <c r="B326" s="252" t="s">
        <v>343</v>
      </c>
      <c r="C326" s="271" t="s">
        <v>312</v>
      </c>
      <c r="D326" s="252" t="s">
        <v>196</v>
      </c>
      <c r="E326" s="260" t="s">
        <v>484</v>
      </c>
      <c r="F326" s="252" t="s">
        <v>96</v>
      </c>
      <c r="G326" s="257" t="e">
        <v>#REF!</v>
      </c>
      <c r="H326" s="257" t="e">
        <v>#REF!</v>
      </c>
      <c r="I326" s="257" t="e">
        <v>#REF!</v>
      </c>
      <c r="J326" s="257" t="e">
        <f>#REF!+H326</f>
        <v>#REF!</v>
      </c>
      <c r="K326" s="257" t="e">
        <f>#REF!+I326</f>
        <v>#REF!</v>
      </c>
      <c r="L326" s="257" t="e">
        <f>#REF!+J326</f>
        <v>#REF!</v>
      </c>
      <c r="M326" s="257" t="e">
        <f>#REF!+L326</f>
        <v>#REF!</v>
      </c>
      <c r="N326" s="257" t="e">
        <f>#REF!+L326</f>
        <v>#REF!</v>
      </c>
      <c r="O326" s="257" t="e">
        <f>#REF!+M326</f>
        <v>#REF!</v>
      </c>
    </row>
    <row r="327" spans="1:15" s="430" customFormat="1" ht="18.75" hidden="1" customHeight="1" x14ac:dyDescent="0.2">
      <c r="A327" s="259" t="s">
        <v>97</v>
      </c>
      <c r="B327" s="252" t="s">
        <v>343</v>
      </c>
      <c r="C327" s="271" t="s">
        <v>312</v>
      </c>
      <c r="D327" s="252" t="s">
        <v>196</v>
      </c>
      <c r="E327" s="260" t="s">
        <v>484</v>
      </c>
      <c r="F327" s="252" t="s">
        <v>98</v>
      </c>
      <c r="G327" s="257" t="e">
        <v>#REF!</v>
      </c>
      <c r="H327" s="257" t="e">
        <v>#REF!</v>
      </c>
      <c r="I327" s="257" t="e">
        <v>#REF!</v>
      </c>
      <c r="J327" s="257" t="e">
        <f>#REF!+H327</f>
        <v>#REF!</v>
      </c>
      <c r="K327" s="257" t="e">
        <f>#REF!+I327</f>
        <v>#REF!</v>
      </c>
      <c r="L327" s="257" t="e">
        <f>#REF!+J327</f>
        <v>#REF!</v>
      </c>
      <c r="M327" s="257" t="e">
        <f>#REF!+L327</f>
        <v>#REF!</v>
      </c>
      <c r="N327" s="257" t="e">
        <f>#REF!+L327</f>
        <v>#REF!</v>
      </c>
      <c r="O327" s="257" t="e">
        <f>#REF!+M327</f>
        <v>#REF!</v>
      </c>
    </row>
    <row r="328" spans="1:15" s="430" customFormat="1" ht="16.5" hidden="1" customHeight="1" x14ac:dyDescent="0.2">
      <c r="A328" s="259" t="s">
        <v>99</v>
      </c>
      <c r="B328" s="252" t="s">
        <v>343</v>
      </c>
      <c r="C328" s="271" t="s">
        <v>312</v>
      </c>
      <c r="D328" s="252" t="s">
        <v>196</v>
      </c>
      <c r="E328" s="260" t="s">
        <v>484</v>
      </c>
      <c r="F328" s="252" t="s">
        <v>100</v>
      </c>
      <c r="G328" s="257" t="e">
        <v>#REF!</v>
      </c>
      <c r="H328" s="257" t="e">
        <v>#REF!</v>
      </c>
      <c r="I328" s="257" t="e">
        <v>#REF!</v>
      </c>
      <c r="J328" s="257" t="e">
        <f>#REF!+H328</f>
        <v>#REF!</v>
      </c>
      <c r="K328" s="257" t="e">
        <f>#REF!+I328</f>
        <v>#REF!</v>
      </c>
      <c r="L328" s="257" t="e">
        <f>#REF!+J328</f>
        <v>#REF!</v>
      </c>
      <c r="M328" s="257" t="e">
        <f>#REF!+L328</f>
        <v>#REF!</v>
      </c>
      <c r="N328" s="257" t="e">
        <f>#REF!+L328</f>
        <v>#REF!</v>
      </c>
      <c r="O328" s="257" t="e">
        <f>#REF!+M328</f>
        <v>#REF!</v>
      </c>
    </row>
    <row r="329" spans="1:15" s="430" customFormat="1" ht="15" hidden="1" customHeight="1" x14ac:dyDescent="0.2">
      <c r="A329" s="259" t="s">
        <v>93</v>
      </c>
      <c r="B329" s="252" t="s">
        <v>343</v>
      </c>
      <c r="C329" s="271" t="s">
        <v>312</v>
      </c>
      <c r="D329" s="252" t="s">
        <v>196</v>
      </c>
      <c r="E329" s="260" t="s">
        <v>484</v>
      </c>
      <c r="F329" s="252" t="s">
        <v>94</v>
      </c>
      <c r="G329" s="257" t="e">
        <v>#REF!</v>
      </c>
      <c r="H329" s="257" t="e">
        <v>#REF!</v>
      </c>
      <c r="I329" s="257" t="e">
        <v>#REF!</v>
      </c>
      <c r="J329" s="257" t="e">
        <f>#REF!+H329</f>
        <v>#REF!</v>
      </c>
      <c r="K329" s="257" t="e">
        <f>#REF!+I329</f>
        <v>#REF!</v>
      </c>
      <c r="L329" s="257" t="e">
        <f>#REF!+J329</f>
        <v>#REF!</v>
      </c>
      <c r="M329" s="257" t="e">
        <f>#REF!+L329</f>
        <v>#REF!</v>
      </c>
      <c r="N329" s="257" t="e">
        <f>#REF!+L329</f>
        <v>#REF!</v>
      </c>
      <c r="O329" s="257" t="e">
        <f>#REF!+M329</f>
        <v>#REF!</v>
      </c>
    </row>
    <row r="330" spans="1:15" s="430" customFormat="1" ht="27.75" customHeight="1" x14ac:dyDescent="0.2">
      <c r="A330" s="259" t="s">
        <v>992</v>
      </c>
      <c r="B330" s="252" t="s">
        <v>343</v>
      </c>
      <c r="C330" s="271" t="s">
        <v>312</v>
      </c>
      <c r="D330" s="252" t="s">
        <v>196</v>
      </c>
      <c r="E330" s="260" t="s">
        <v>1022</v>
      </c>
      <c r="F330" s="252"/>
      <c r="G330" s="262">
        <v>2733.6</v>
      </c>
      <c r="H330" s="262">
        <v>234.4</v>
      </c>
      <c r="I330" s="262">
        <v>2213.6</v>
      </c>
      <c r="J330" s="262">
        <f t="shared" ref="J330" si="257">J331+J332+J335+J336+J337+J333+J334</f>
        <v>135.4</v>
      </c>
      <c r="K330" s="262">
        <f>L331+L332+L335+L336+L337+L333+L334</f>
        <v>2349</v>
      </c>
      <c r="L330" s="262">
        <f t="shared" ref="L330" si="258">L331+L332+L335+L336+L337+L333+L334</f>
        <v>2349</v>
      </c>
      <c r="M330" s="262">
        <f t="shared" ref="M330:N330" si="259">M331+M332+M335+M336+M337+M333+M334</f>
        <v>-230</v>
      </c>
      <c r="N330" s="262">
        <f t="shared" si="259"/>
        <v>2119</v>
      </c>
      <c r="O330" s="262">
        <f t="shared" ref="O330" si="260">O331+O332+O335+O336+O337+O333+O334</f>
        <v>2119</v>
      </c>
    </row>
    <row r="331" spans="1:15" s="430" customFormat="1" ht="15" customHeight="1" x14ac:dyDescent="0.2">
      <c r="A331" s="259" t="s">
        <v>95</v>
      </c>
      <c r="B331" s="252" t="s">
        <v>343</v>
      </c>
      <c r="C331" s="271" t="s">
        <v>312</v>
      </c>
      <c r="D331" s="252" t="s">
        <v>196</v>
      </c>
      <c r="E331" s="260" t="s">
        <v>1022</v>
      </c>
      <c r="F331" s="252" t="s">
        <v>96</v>
      </c>
      <c r="G331" s="257">
        <v>1500</v>
      </c>
      <c r="H331" s="257">
        <v>180</v>
      </c>
      <c r="I331" s="257">
        <v>1500</v>
      </c>
      <c r="J331" s="257">
        <v>105</v>
      </c>
      <c r="K331" s="257">
        <f t="shared" ref="K331:K337" si="261">I331+J331</f>
        <v>1605</v>
      </c>
      <c r="L331" s="257">
        <v>1605</v>
      </c>
      <c r="M331" s="257">
        <v>0</v>
      </c>
      <c r="N331" s="257">
        <f t="shared" ref="N331:N337" si="262">L331+M331</f>
        <v>1605</v>
      </c>
      <c r="O331" s="257">
        <v>1605</v>
      </c>
    </row>
    <row r="332" spans="1:15" s="430" customFormat="1" ht="35.25" customHeight="1" x14ac:dyDescent="0.2">
      <c r="A332" s="375" t="s">
        <v>898</v>
      </c>
      <c r="B332" s="382" t="s">
        <v>343</v>
      </c>
      <c r="C332" s="382" t="s">
        <v>190</v>
      </c>
      <c r="D332" s="382" t="s">
        <v>196</v>
      </c>
      <c r="E332" s="260" t="s">
        <v>1022</v>
      </c>
      <c r="F332" s="382" t="s">
        <v>896</v>
      </c>
      <c r="G332" s="257">
        <v>453.6</v>
      </c>
      <c r="H332" s="257">
        <v>54.4</v>
      </c>
      <c r="I332" s="257">
        <v>453.6</v>
      </c>
      <c r="J332" s="257">
        <v>30.4</v>
      </c>
      <c r="K332" s="257">
        <f t="shared" si="261"/>
        <v>484</v>
      </c>
      <c r="L332" s="257">
        <v>484</v>
      </c>
      <c r="M332" s="257">
        <v>0</v>
      </c>
      <c r="N332" s="257">
        <f t="shared" si="262"/>
        <v>484</v>
      </c>
      <c r="O332" s="257">
        <v>484</v>
      </c>
    </row>
    <row r="333" spans="1:15" s="430" customFormat="1" ht="21" hidden="1" customHeight="1" x14ac:dyDescent="0.2">
      <c r="A333" s="259" t="s">
        <v>907</v>
      </c>
      <c r="B333" s="252" t="s">
        <v>343</v>
      </c>
      <c r="C333" s="271" t="s">
        <v>312</v>
      </c>
      <c r="D333" s="252" t="s">
        <v>196</v>
      </c>
      <c r="E333" s="260" t="s">
        <v>1084</v>
      </c>
      <c r="F333" s="252" t="s">
        <v>96</v>
      </c>
      <c r="G333" s="257">
        <v>400</v>
      </c>
      <c r="H333" s="257">
        <v>0</v>
      </c>
      <c r="I333" s="257">
        <v>0</v>
      </c>
      <c r="J333" s="257">
        <v>0</v>
      </c>
      <c r="K333" s="257">
        <f t="shared" si="261"/>
        <v>0</v>
      </c>
      <c r="L333" s="257">
        <v>0</v>
      </c>
      <c r="M333" s="257">
        <v>0</v>
      </c>
      <c r="N333" s="257">
        <f t="shared" si="262"/>
        <v>0</v>
      </c>
      <c r="O333" s="257">
        <v>0</v>
      </c>
    </row>
    <row r="334" spans="1:15" s="430" customFormat="1" ht="35.25" hidden="1" customHeight="1" x14ac:dyDescent="0.2">
      <c r="A334" s="375" t="s">
        <v>898</v>
      </c>
      <c r="B334" s="382" t="s">
        <v>343</v>
      </c>
      <c r="C334" s="382" t="s">
        <v>190</v>
      </c>
      <c r="D334" s="382" t="s">
        <v>196</v>
      </c>
      <c r="E334" s="260" t="s">
        <v>1084</v>
      </c>
      <c r="F334" s="382" t="s">
        <v>896</v>
      </c>
      <c r="G334" s="257">
        <v>120</v>
      </c>
      <c r="H334" s="257">
        <v>0</v>
      </c>
      <c r="I334" s="257">
        <v>0</v>
      </c>
      <c r="J334" s="257">
        <v>0</v>
      </c>
      <c r="K334" s="257">
        <f t="shared" si="261"/>
        <v>0</v>
      </c>
      <c r="L334" s="257">
        <v>0</v>
      </c>
      <c r="M334" s="257">
        <v>0</v>
      </c>
      <c r="N334" s="257">
        <f t="shared" si="262"/>
        <v>0</v>
      </c>
      <c r="O334" s="257">
        <v>0</v>
      </c>
    </row>
    <row r="335" spans="1:15" s="430" customFormat="1" ht="15" customHeight="1" x14ac:dyDescent="0.2">
      <c r="A335" s="259" t="s">
        <v>97</v>
      </c>
      <c r="B335" s="252" t="s">
        <v>343</v>
      </c>
      <c r="C335" s="271" t="s">
        <v>312</v>
      </c>
      <c r="D335" s="252" t="s">
        <v>196</v>
      </c>
      <c r="E335" s="260" t="s">
        <v>1022</v>
      </c>
      <c r="F335" s="252" t="s">
        <v>98</v>
      </c>
      <c r="G335" s="257">
        <v>60</v>
      </c>
      <c r="H335" s="257">
        <v>0</v>
      </c>
      <c r="I335" s="257">
        <v>60</v>
      </c>
      <c r="J335" s="257">
        <v>0</v>
      </c>
      <c r="K335" s="257">
        <f t="shared" si="261"/>
        <v>60</v>
      </c>
      <c r="L335" s="257">
        <v>60</v>
      </c>
      <c r="M335" s="257">
        <v>-30</v>
      </c>
      <c r="N335" s="257">
        <f t="shared" si="262"/>
        <v>30</v>
      </c>
      <c r="O335" s="257">
        <v>30</v>
      </c>
    </row>
    <row r="336" spans="1:15" s="430" customFormat="1" ht="19.5" hidden="1" customHeight="1" x14ac:dyDescent="0.2">
      <c r="A336" s="259" t="s">
        <v>99</v>
      </c>
      <c r="B336" s="252" t="s">
        <v>343</v>
      </c>
      <c r="C336" s="271" t="s">
        <v>312</v>
      </c>
      <c r="D336" s="252" t="s">
        <v>196</v>
      </c>
      <c r="E336" s="260" t="s">
        <v>1022</v>
      </c>
      <c r="F336" s="252" t="s">
        <v>100</v>
      </c>
      <c r="G336" s="257">
        <v>100</v>
      </c>
      <c r="H336" s="257">
        <v>0</v>
      </c>
      <c r="I336" s="257">
        <v>100</v>
      </c>
      <c r="J336" s="257">
        <v>-100</v>
      </c>
      <c r="K336" s="257">
        <f t="shared" si="261"/>
        <v>0</v>
      </c>
      <c r="L336" s="257">
        <v>0</v>
      </c>
      <c r="M336" s="257">
        <v>0</v>
      </c>
      <c r="N336" s="257">
        <f t="shared" si="262"/>
        <v>0</v>
      </c>
      <c r="O336" s="257">
        <v>0</v>
      </c>
    </row>
    <row r="337" spans="1:15" s="430" customFormat="1" ht="20.25" customHeight="1" x14ac:dyDescent="0.2">
      <c r="A337" s="259" t="s">
        <v>93</v>
      </c>
      <c r="B337" s="252" t="s">
        <v>343</v>
      </c>
      <c r="C337" s="271" t="s">
        <v>312</v>
      </c>
      <c r="D337" s="252" t="s">
        <v>196</v>
      </c>
      <c r="E337" s="260" t="s">
        <v>1022</v>
      </c>
      <c r="F337" s="252" t="s">
        <v>94</v>
      </c>
      <c r="G337" s="257">
        <v>100</v>
      </c>
      <c r="H337" s="257">
        <v>0</v>
      </c>
      <c r="I337" s="257">
        <v>100</v>
      </c>
      <c r="J337" s="257">
        <v>100</v>
      </c>
      <c r="K337" s="257">
        <f t="shared" si="261"/>
        <v>200</v>
      </c>
      <c r="L337" s="257">
        <v>200</v>
      </c>
      <c r="M337" s="257">
        <v>-200</v>
      </c>
      <c r="N337" s="257">
        <f t="shared" si="262"/>
        <v>0</v>
      </c>
      <c r="O337" s="257">
        <v>0</v>
      </c>
    </row>
    <row r="338" spans="1:15" s="430" customFormat="1" ht="45" customHeight="1" x14ac:dyDescent="0.2">
      <c r="A338" s="259" t="s">
        <v>1274</v>
      </c>
      <c r="B338" s="252" t="s">
        <v>343</v>
      </c>
      <c r="C338" s="249" t="s">
        <v>312</v>
      </c>
      <c r="D338" s="250" t="s">
        <v>196</v>
      </c>
      <c r="E338" s="365" t="s">
        <v>1275</v>
      </c>
      <c r="F338" s="250"/>
      <c r="G338" s="275">
        <v>113.8</v>
      </c>
      <c r="H338" s="275">
        <v>-4.2</v>
      </c>
      <c r="I338" s="275">
        <v>109.6</v>
      </c>
      <c r="J338" s="275" t="e">
        <f>#REF!+#REF!</f>
        <v>#REF!</v>
      </c>
      <c r="K338" s="275" t="e">
        <f>#REF!+#REF!</f>
        <v>#REF!</v>
      </c>
      <c r="L338" s="275">
        <f>L339+L340+L341+L342</f>
        <v>138.89999999999998</v>
      </c>
      <c r="M338" s="275">
        <f t="shared" ref="M338:O338" si="263">M339+M340+M341+M342</f>
        <v>-31.700000000000003</v>
      </c>
      <c r="N338" s="275">
        <f t="shared" si="263"/>
        <v>107.2</v>
      </c>
      <c r="O338" s="275">
        <f t="shared" si="263"/>
        <v>107.2</v>
      </c>
    </row>
    <row r="339" spans="1:15" s="430" customFormat="1" ht="18" customHeight="1" x14ac:dyDescent="0.2">
      <c r="A339" s="375" t="s">
        <v>907</v>
      </c>
      <c r="B339" s="252" t="s">
        <v>343</v>
      </c>
      <c r="C339" s="271" t="s">
        <v>312</v>
      </c>
      <c r="D339" s="252" t="s">
        <v>196</v>
      </c>
      <c r="E339" s="260" t="s">
        <v>1180</v>
      </c>
      <c r="F339" s="252" t="s">
        <v>96</v>
      </c>
      <c r="G339" s="257"/>
      <c r="H339" s="257"/>
      <c r="I339" s="257"/>
      <c r="J339" s="257"/>
      <c r="K339" s="257"/>
      <c r="L339" s="257">
        <v>106.67999999999999</v>
      </c>
      <c r="M339" s="257">
        <v>-106.68</v>
      </c>
      <c r="N339" s="257">
        <f>L339+M339</f>
        <v>0</v>
      </c>
      <c r="O339" s="257">
        <v>0</v>
      </c>
    </row>
    <row r="340" spans="1:15" s="430" customFormat="1" ht="31.5" customHeight="1" x14ac:dyDescent="0.2">
      <c r="A340" s="375" t="s">
        <v>898</v>
      </c>
      <c r="B340" s="252" t="s">
        <v>343</v>
      </c>
      <c r="C340" s="271" t="s">
        <v>312</v>
      </c>
      <c r="D340" s="252" t="s">
        <v>196</v>
      </c>
      <c r="E340" s="260" t="s">
        <v>1180</v>
      </c>
      <c r="F340" s="252" t="s">
        <v>896</v>
      </c>
      <c r="G340" s="257"/>
      <c r="H340" s="257"/>
      <c r="I340" s="257"/>
      <c r="J340" s="257"/>
      <c r="K340" s="257"/>
      <c r="L340" s="257">
        <v>32.22</v>
      </c>
      <c r="M340" s="257">
        <v>-32.22</v>
      </c>
      <c r="N340" s="257">
        <f>L340+M340</f>
        <v>0</v>
      </c>
      <c r="O340" s="257">
        <v>0</v>
      </c>
    </row>
    <row r="341" spans="1:15" s="430" customFormat="1" ht="22.5" customHeight="1" x14ac:dyDescent="0.2">
      <c r="A341" s="375" t="s">
        <v>907</v>
      </c>
      <c r="B341" s="252" t="s">
        <v>343</v>
      </c>
      <c r="C341" s="271" t="s">
        <v>312</v>
      </c>
      <c r="D341" s="252" t="s">
        <v>196</v>
      </c>
      <c r="E341" s="260" t="s">
        <v>1275</v>
      </c>
      <c r="F341" s="252" t="s">
        <v>96</v>
      </c>
      <c r="G341" s="257"/>
      <c r="H341" s="257"/>
      <c r="I341" s="257"/>
      <c r="J341" s="257"/>
      <c r="K341" s="257"/>
      <c r="L341" s="257">
        <v>0</v>
      </c>
      <c r="M341" s="257">
        <v>82.34</v>
      </c>
      <c r="N341" s="257">
        <f>L341+M341</f>
        <v>82.34</v>
      </c>
      <c r="O341" s="257">
        <v>82.34</v>
      </c>
    </row>
    <row r="342" spans="1:15" s="430" customFormat="1" ht="31.5" customHeight="1" x14ac:dyDescent="0.2">
      <c r="A342" s="375" t="s">
        <v>898</v>
      </c>
      <c r="B342" s="252" t="s">
        <v>343</v>
      </c>
      <c r="C342" s="271" t="s">
        <v>312</v>
      </c>
      <c r="D342" s="252" t="s">
        <v>196</v>
      </c>
      <c r="E342" s="260" t="s">
        <v>1275</v>
      </c>
      <c r="F342" s="252" t="s">
        <v>896</v>
      </c>
      <c r="G342" s="257"/>
      <c r="H342" s="257"/>
      <c r="I342" s="257"/>
      <c r="J342" s="257"/>
      <c r="K342" s="257"/>
      <c r="L342" s="257">
        <v>0</v>
      </c>
      <c r="M342" s="257">
        <v>24.86</v>
      </c>
      <c r="N342" s="257">
        <f>L342+M342</f>
        <v>24.86</v>
      </c>
      <c r="O342" s="257">
        <v>24.86</v>
      </c>
    </row>
    <row r="343" spans="1:15" ht="31.5" customHeight="1" x14ac:dyDescent="0.2">
      <c r="A343" s="462" t="s">
        <v>199</v>
      </c>
      <c r="B343" s="250" t="s">
        <v>343</v>
      </c>
      <c r="C343" s="250" t="s">
        <v>190</v>
      </c>
      <c r="D343" s="250" t="s">
        <v>200</v>
      </c>
      <c r="E343" s="250"/>
      <c r="F343" s="250"/>
      <c r="G343" s="275">
        <v>4947</v>
      </c>
      <c r="H343" s="275">
        <v>2714</v>
      </c>
      <c r="I343" s="275">
        <v>4947</v>
      </c>
      <c r="J343" s="275">
        <f t="shared" ref="J343" si="264">J372</f>
        <v>-257.39999999999998</v>
      </c>
      <c r="K343" s="275">
        <f>L372</f>
        <v>4689.6000000000004</v>
      </c>
      <c r="L343" s="275">
        <f t="shared" ref="L343" si="265">L372</f>
        <v>4689.6000000000004</v>
      </c>
      <c r="M343" s="275">
        <f t="shared" ref="M343:N343" si="266">M372</f>
        <v>-95</v>
      </c>
      <c r="N343" s="275">
        <f t="shared" si="266"/>
        <v>4594.6000000000004</v>
      </c>
      <c r="O343" s="275">
        <f t="shared" ref="O343" si="267">O372</f>
        <v>4436.6000000000004</v>
      </c>
    </row>
    <row r="344" spans="1:15" ht="30.75" hidden="1" customHeight="1" x14ac:dyDescent="0.2">
      <c r="A344" s="259" t="s">
        <v>123</v>
      </c>
      <c r="B344" s="252" t="s">
        <v>343</v>
      </c>
      <c r="C344" s="252" t="s">
        <v>190</v>
      </c>
      <c r="D344" s="252" t="s">
        <v>200</v>
      </c>
      <c r="E344" s="260" t="s">
        <v>332</v>
      </c>
      <c r="F344" s="252"/>
      <c r="G344" s="257">
        <v>-38840</v>
      </c>
      <c r="H344" s="257">
        <v>-63115</v>
      </c>
      <c r="I344" s="257">
        <v>-63115</v>
      </c>
      <c r="J344" s="257" t="e">
        <f t="shared" ref="J344:O344" si="268">J345</f>
        <v>#REF!</v>
      </c>
      <c r="K344" s="257" t="e">
        <f>L345</f>
        <v>#REF!</v>
      </c>
      <c r="L344" s="257" t="e">
        <f t="shared" si="268"/>
        <v>#REF!</v>
      </c>
      <c r="M344" s="257" t="e">
        <f t="shared" si="268"/>
        <v>#REF!</v>
      </c>
      <c r="N344" s="257" t="e">
        <f t="shared" si="268"/>
        <v>#REF!</v>
      </c>
      <c r="O344" s="257" t="e">
        <f t="shared" si="268"/>
        <v>#REF!</v>
      </c>
    </row>
    <row r="345" spans="1:15" hidden="1" x14ac:dyDescent="0.2">
      <c r="A345" s="259" t="s">
        <v>333</v>
      </c>
      <c r="B345" s="252" t="s">
        <v>343</v>
      </c>
      <c r="C345" s="252" t="s">
        <v>190</v>
      </c>
      <c r="D345" s="252" t="s">
        <v>200</v>
      </c>
      <c r="E345" s="260" t="s">
        <v>334</v>
      </c>
      <c r="F345" s="252"/>
      <c r="G345" s="257">
        <v>-38840</v>
      </c>
      <c r="H345" s="257">
        <v>-63115</v>
      </c>
      <c r="I345" s="257">
        <v>-63115</v>
      </c>
      <c r="J345" s="257" t="e">
        <f t="shared" ref="J345" si="269">J346+J347+J350+J351+J362</f>
        <v>#REF!</v>
      </c>
      <c r="K345" s="257" t="e">
        <f>L346+L347+L350+L351+L362</f>
        <v>#REF!</v>
      </c>
      <c r="L345" s="257" t="e">
        <f t="shared" ref="L345" si="270">L346+L347+L350+L351+L362</f>
        <v>#REF!</v>
      </c>
      <c r="M345" s="257" t="e">
        <f t="shared" ref="M345:N345" si="271">M346+M347+M350+M351+M362</f>
        <v>#REF!</v>
      </c>
      <c r="N345" s="257" t="e">
        <f t="shared" si="271"/>
        <v>#REF!</v>
      </c>
      <c r="O345" s="257" t="e">
        <f t="shared" ref="O345" si="272">O346+O347+O350+O351+O362</f>
        <v>#REF!</v>
      </c>
    </row>
    <row r="346" spans="1:15" hidden="1" x14ac:dyDescent="0.2">
      <c r="A346" s="259" t="s">
        <v>95</v>
      </c>
      <c r="B346" s="252" t="s">
        <v>343</v>
      </c>
      <c r="C346" s="252" t="s">
        <v>190</v>
      </c>
      <c r="D346" s="252" t="s">
        <v>200</v>
      </c>
      <c r="E346" s="260" t="s">
        <v>334</v>
      </c>
      <c r="F346" s="252" t="s">
        <v>96</v>
      </c>
      <c r="G346" s="257">
        <v>-32000</v>
      </c>
      <c r="H346" s="257">
        <v>-52000</v>
      </c>
      <c r="I346" s="257">
        <v>-52000</v>
      </c>
      <c r="J346" s="257" t="e">
        <f>#REF!+H346</f>
        <v>#REF!</v>
      </c>
      <c r="K346" s="257">
        <f t="shared" ref="K346:K362" si="273">G346+I346</f>
        <v>-84000</v>
      </c>
      <c r="L346" s="257" t="e">
        <f t="shared" ref="L346:L362" si="274">I346+J346</f>
        <v>#REF!</v>
      </c>
      <c r="M346" s="257" t="e">
        <f t="shared" ref="M346:M362" si="275">I346+L346</f>
        <v>#REF!</v>
      </c>
      <c r="N346" s="257" t="e">
        <f t="shared" ref="N346:N362" si="276">J346+L346</f>
        <v>#REF!</v>
      </c>
      <c r="O346" s="257" t="e">
        <f t="shared" ref="O346:O362" si="277">L346+M346</f>
        <v>#REF!</v>
      </c>
    </row>
    <row r="347" spans="1:15" hidden="1" x14ac:dyDescent="0.2">
      <c r="A347" s="259" t="s">
        <v>97</v>
      </c>
      <c r="B347" s="252" t="s">
        <v>343</v>
      </c>
      <c r="C347" s="252" t="s">
        <v>190</v>
      </c>
      <c r="D347" s="252" t="s">
        <v>200</v>
      </c>
      <c r="E347" s="260" t="s">
        <v>334</v>
      </c>
      <c r="F347" s="252" t="s">
        <v>98</v>
      </c>
      <c r="G347" s="257">
        <v>-784</v>
      </c>
      <c r="H347" s="257">
        <v>-1274</v>
      </c>
      <c r="I347" s="257">
        <v>-1274</v>
      </c>
      <c r="J347" s="257" t="e">
        <f>#REF!+H347</f>
        <v>#REF!</v>
      </c>
      <c r="K347" s="257">
        <f t="shared" si="273"/>
        <v>-2058</v>
      </c>
      <c r="L347" s="257" t="e">
        <f t="shared" si="274"/>
        <v>#REF!</v>
      </c>
      <c r="M347" s="257" t="e">
        <f t="shared" si="275"/>
        <v>#REF!</v>
      </c>
      <c r="N347" s="257" t="e">
        <f t="shared" si="276"/>
        <v>#REF!</v>
      </c>
      <c r="O347" s="257" t="e">
        <f t="shared" si="277"/>
        <v>#REF!</v>
      </c>
    </row>
    <row r="348" spans="1:15" ht="25.5" hidden="1" customHeight="1" x14ac:dyDescent="0.2">
      <c r="A348" s="259" t="s">
        <v>99</v>
      </c>
      <c r="B348" s="252" t="s">
        <v>343</v>
      </c>
      <c r="C348" s="252" t="s">
        <v>190</v>
      </c>
      <c r="D348" s="252" t="s">
        <v>200</v>
      </c>
      <c r="E348" s="260" t="s">
        <v>334</v>
      </c>
      <c r="F348" s="252" t="s">
        <v>100</v>
      </c>
      <c r="G348" s="257" t="e">
        <v>#REF!</v>
      </c>
      <c r="H348" s="257" t="e">
        <v>#REF!</v>
      </c>
      <c r="I348" s="257" t="e">
        <v>#REF!</v>
      </c>
      <c r="J348" s="257" t="e">
        <f>#REF!+H348</f>
        <v>#REF!</v>
      </c>
      <c r="K348" s="257" t="e">
        <f t="shared" si="273"/>
        <v>#REF!</v>
      </c>
      <c r="L348" s="257" t="e">
        <f t="shared" si="274"/>
        <v>#REF!</v>
      </c>
      <c r="M348" s="257" t="e">
        <f t="shared" si="275"/>
        <v>#REF!</v>
      </c>
      <c r="N348" s="257" t="e">
        <f t="shared" si="276"/>
        <v>#REF!</v>
      </c>
      <c r="O348" s="257" t="e">
        <f t="shared" si="277"/>
        <v>#REF!</v>
      </c>
    </row>
    <row r="349" spans="1:15" ht="25.5" hidden="1" customHeight="1" x14ac:dyDescent="0.2">
      <c r="A349" s="259" t="s">
        <v>101</v>
      </c>
      <c r="B349" s="252" t="s">
        <v>343</v>
      </c>
      <c r="C349" s="252" t="s">
        <v>190</v>
      </c>
      <c r="D349" s="252" t="s">
        <v>200</v>
      </c>
      <c r="E349" s="260" t="s">
        <v>334</v>
      </c>
      <c r="F349" s="252" t="s">
        <v>102</v>
      </c>
      <c r="G349" s="257" t="e">
        <v>#REF!</v>
      </c>
      <c r="H349" s="257" t="e">
        <v>#REF!</v>
      </c>
      <c r="I349" s="257" t="e">
        <v>#REF!</v>
      </c>
      <c r="J349" s="257" t="e">
        <f>#REF!+H349</f>
        <v>#REF!</v>
      </c>
      <c r="K349" s="257" t="e">
        <f t="shared" si="273"/>
        <v>#REF!</v>
      </c>
      <c r="L349" s="257" t="e">
        <f t="shared" si="274"/>
        <v>#REF!</v>
      </c>
      <c r="M349" s="257" t="e">
        <f t="shared" si="275"/>
        <v>#REF!</v>
      </c>
      <c r="N349" s="257" t="e">
        <f t="shared" si="276"/>
        <v>#REF!</v>
      </c>
      <c r="O349" s="257" t="e">
        <f t="shared" si="277"/>
        <v>#REF!</v>
      </c>
    </row>
    <row r="350" spans="1:15" ht="15.75" hidden="1" customHeight="1" x14ac:dyDescent="0.2">
      <c r="A350" s="259" t="s">
        <v>99</v>
      </c>
      <c r="B350" s="252" t="s">
        <v>343</v>
      </c>
      <c r="C350" s="252" t="s">
        <v>190</v>
      </c>
      <c r="D350" s="252" t="s">
        <v>200</v>
      </c>
      <c r="E350" s="260" t="s">
        <v>334</v>
      </c>
      <c r="F350" s="252" t="s">
        <v>100</v>
      </c>
      <c r="G350" s="257">
        <v>-2720</v>
      </c>
      <c r="H350" s="257">
        <v>-4420</v>
      </c>
      <c r="I350" s="257">
        <v>-4420</v>
      </c>
      <c r="J350" s="257" t="e">
        <f>#REF!+H350</f>
        <v>#REF!</v>
      </c>
      <c r="K350" s="257">
        <f t="shared" si="273"/>
        <v>-7140</v>
      </c>
      <c r="L350" s="257" t="e">
        <f t="shared" si="274"/>
        <v>#REF!</v>
      </c>
      <c r="M350" s="257" t="e">
        <f t="shared" si="275"/>
        <v>#REF!</v>
      </c>
      <c r="N350" s="257" t="e">
        <f t="shared" si="276"/>
        <v>#REF!</v>
      </c>
      <c r="O350" s="257" t="e">
        <f t="shared" si="277"/>
        <v>#REF!</v>
      </c>
    </row>
    <row r="351" spans="1:15" ht="18" hidden="1" customHeight="1" x14ac:dyDescent="0.2">
      <c r="A351" s="259" t="s">
        <v>93</v>
      </c>
      <c r="B351" s="252" t="s">
        <v>343</v>
      </c>
      <c r="C351" s="252" t="s">
        <v>190</v>
      </c>
      <c r="D351" s="252" t="s">
        <v>200</v>
      </c>
      <c r="E351" s="260" t="s">
        <v>334</v>
      </c>
      <c r="F351" s="252" t="s">
        <v>94</v>
      </c>
      <c r="G351" s="257">
        <v>-2776</v>
      </c>
      <c r="H351" s="257">
        <v>-4511</v>
      </c>
      <c r="I351" s="257">
        <v>-4511</v>
      </c>
      <c r="J351" s="257" t="e">
        <f>#REF!+H351</f>
        <v>#REF!</v>
      </c>
      <c r="K351" s="257">
        <f t="shared" si="273"/>
        <v>-7287</v>
      </c>
      <c r="L351" s="257" t="e">
        <f t="shared" si="274"/>
        <v>#REF!</v>
      </c>
      <c r="M351" s="257" t="e">
        <f t="shared" si="275"/>
        <v>#REF!</v>
      </c>
      <c r="N351" s="257" t="e">
        <f t="shared" si="276"/>
        <v>#REF!</v>
      </c>
      <c r="O351" s="257" t="e">
        <f t="shared" si="277"/>
        <v>#REF!</v>
      </c>
    </row>
    <row r="352" spans="1:15" ht="12.75" hidden="1" customHeight="1" x14ac:dyDescent="0.2">
      <c r="A352" s="259" t="s">
        <v>63</v>
      </c>
      <c r="B352" s="252" t="s">
        <v>343</v>
      </c>
      <c r="C352" s="252" t="s">
        <v>190</v>
      </c>
      <c r="D352" s="252" t="s">
        <v>200</v>
      </c>
      <c r="E352" s="260" t="s">
        <v>334</v>
      </c>
      <c r="F352" s="252" t="s">
        <v>64</v>
      </c>
      <c r="G352" s="257" t="e">
        <v>#REF!</v>
      </c>
      <c r="H352" s="257" t="e">
        <v>#REF!</v>
      </c>
      <c r="I352" s="257" t="e">
        <v>#REF!</v>
      </c>
      <c r="J352" s="257" t="e">
        <f>#REF!+H352</f>
        <v>#REF!</v>
      </c>
      <c r="K352" s="257" t="e">
        <f t="shared" si="273"/>
        <v>#REF!</v>
      </c>
      <c r="L352" s="257" t="e">
        <f t="shared" si="274"/>
        <v>#REF!</v>
      </c>
      <c r="M352" s="257" t="e">
        <f t="shared" si="275"/>
        <v>#REF!</v>
      </c>
      <c r="N352" s="257" t="e">
        <f t="shared" si="276"/>
        <v>#REF!</v>
      </c>
      <c r="O352" s="257" t="e">
        <f t="shared" si="277"/>
        <v>#REF!</v>
      </c>
    </row>
    <row r="353" spans="1:15" ht="12.75" hidden="1" customHeight="1" x14ac:dyDescent="0.2">
      <c r="A353" s="259" t="s">
        <v>302</v>
      </c>
      <c r="B353" s="252" t="s">
        <v>343</v>
      </c>
      <c r="C353" s="252" t="s">
        <v>190</v>
      </c>
      <c r="D353" s="252" t="s">
        <v>200</v>
      </c>
      <c r="E353" s="260" t="s">
        <v>334</v>
      </c>
      <c r="F353" s="252" t="s">
        <v>303</v>
      </c>
      <c r="G353" s="257" t="e">
        <v>#REF!</v>
      </c>
      <c r="H353" s="257" t="e">
        <v>#REF!</v>
      </c>
      <c r="I353" s="257" t="e">
        <v>#REF!</v>
      </c>
      <c r="J353" s="257" t="e">
        <f>#REF!+H353</f>
        <v>#REF!</v>
      </c>
      <c r="K353" s="257" t="e">
        <f t="shared" si="273"/>
        <v>#REF!</v>
      </c>
      <c r="L353" s="257" t="e">
        <f t="shared" si="274"/>
        <v>#REF!</v>
      </c>
      <c r="M353" s="257" t="e">
        <f t="shared" si="275"/>
        <v>#REF!</v>
      </c>
      <c r="N353" s="257" t="e">
        <f t="shared" si="276"/>
        <v>#REF!</v>
      </c>
      <c r="O353" s="257" t="e">
        <f t="shared" si="277"/>
        <v>#REF!</v>
      </c>
    </row>
    <row r="354" spans="1:15" ht="12.75" hidden="1" customHeight="1" x14ac:dyDescent="0.2">
      <c r="A354" s="259" t="s">
        <v>344</v>
      </c>
      <c r="B354" s="252" t="s">
        <v>343</v>
      </c>
      <c r="C354" s="252" t="s">
        <v>190</v>
      </c>
      <c r="D354" s="252" t="s">
        <v>200</v>
      </c>
      <c r="E354" s="260" t="s">
        <v>334</v>
      </c>
      <c r="F354" s="252"/>
      <c r="G354" s="257" t="e">
        <v>#REF!</v>
      </c>
      <c r="H354" s="257" t="e">
        <v>#REF!</v>
      </c>
      <c r="I354" s="257" t="e">
        <v>#REF!</v>
      </c>
      <c r="J354" s="257" t="e">
        <f>#REF!+H354</f>
        <v>#REF!</v>
      </c>
      <c r="K354" s="257" t="e">
        <f t="shared" si="273"/>
        <v>#REF!</v>
      </c>
      <c r="L354" s="257" t="e">
        <f t="shared" si="274"/>
        <v>#REF!</v>
      </c>
      <c r="M354" s="257" t="e">
        <f t="shared" si="275"/>
        <v>#REF!</v>
      </c>
      <c r="N354" s="257" t="e">
        <f t="shared" si="276"/>
        <v>#REF!</v>
      </c>
      <c r="O354" s="257" t="e">
        <f t="shared" si="277"/>
        <v>#REF!</v>
      </c>
    </row>
    <row r="355" spans="1:15" ht="38.25" hidden="1" customHeight="1" x14ac:dyDescent="0.2">
      <c r="A355" s="259" t="s">
        <v>345</v>
      </c>
      <c r="B355" s="252" t="s">
        <v>343</v>
      </c>
      <c r="C355" s="252" t="s">
        <v>190</v>
      </c>
      <c r="D355" s="252" t="s">
        <v>200</v>
      </c>
      <c r="E355" s="260" t="s">
        <v>334</v>
      </c>
      <c r="F355" s="252"/>
      <c r="G355" s="257" t="e">
        <v>#REF!</v>
      </c>
      <c r="H355" s="257" t="e">
        <v>#REF!</v>
      </c>
      <c r="I355" s="257" t="e">
        <v>#REF!</v>
      </c>
      <c r="J355" s="257" t="e">
        <f>#REF!+H355</f>
        <v>#REF!</v>
      </c>
      <c r="K355" s="257" t="e">
        <f t="shared" si="273"/>
        <v>#REF!</v>
      </c>
      <c r="L355" s="257" t="e">
        <f t="shared" si="274"/>
        <v>#REF!</v>
      </c>
      <c r="M355" s="257" t="e">
        <f t="shared" si="275"/>
        <v>#REF!</v>
      </c>
      <c r="N355" s="257" t="e">
        <f t="shared" si="276"/>
        <v>#REF!</v>
      </c>
      <c r="O355" s="257" t="e">
        <f t="shared" si="277"/>
        <v>#REF!</v>
      </c>
    </row>
    <row r="356" spans="1:15" ht="12.75" hidden="1" customHeight="1" x14ac:dyDescent="0.2">
      <c r="A356" s="259" t="s">
        <v>63</v>
      </c>
      <c r="B356" s="252" t="s">
        <v>343</v>
      </c>
      <c r="C356" s="252" t="s">
        <v>190</v>
      </c>
      <c r="D356" s="252" t="s">
        <v>200</v>
      </c>
      <c r="E356" s="260" t="s">
        <v>334</v>
      </c>
      <c r="F356" s="252" t="s">
        <v>64</v>
      </c>
      <c r="G356" s="257" t="e">
        <v>#REF!</v>
      </c>
      <c r="H356" s="257" t="e">
        <v>#REF!</v>
      </c>
      <c r="I356" s="257" t="e">
        <v>#REF!</v>
      </c>
      <c r="J356" s="257" t="e">
        <f>#REF!+H356</f>
        <v>#REF!</v>
      </c>
      <c r="K356" s="257" t="e">
        <f t="shared" si="273"/>
        <v>#REF!</v>
      </c>
      <c r="L356" s="257" t="e">
        <f t="shared" si="274"/>
        <v>#REF!</v>
      </c>
      <c r="M356" s="257" t="e">
        <f t="shared" si="275"/>
        <v>#REF!</v>
      </c>
      <c r="N356" s="257" t="e">
        <f t="shared" si="276"/>
        <v>#REF!</v>
      </c>
      <c r="O356" s="257" t="e">
        <f t="shared" si="277"/>
        <v>#REF!</v>
      </c>
    </row>
    <row r="357" spans="1:15" ht="12.75" hidden="1" customHeight="1" x14ac:dyDescent="0.2">
      <c r="A357" s="462" t="s">
        <v>346</v>
      </c>
      <c r="B357" s="252" t="s">
        <v>343</v>
      </c>
      <c r="C357" s="252" t="s">
        <v>190</v>
      </c>
      <c r="D357" s="252" t="s">
        <v>200</v>
      </c>
      <c r="E357" s="260" t="s">
        <v>334</v>
      </c>
      <c r="F357" s="250"/>
      <c r="G357" s="257" t="e">
        <v>#REF!</v>
      </c>
      <c r="H357" s="257" t="e">
        <v>#REF!</v>
      </c>
      <c r="I357" s="257" t="e">
        <v>#REF!</v>
      </c>
      <c r="J357" s="257" t="e">
        <f>#REF!+H357</f>
        <v>#REF!</v>
      </c>
      <c r="K357" s="257" t="e">
        <f t="shared" si="273"/>
        <v>#REF!</v>
      </c>
      <c r="L357" s="257" t="e">
        <f t="shared" si="274"/>
        <v>#REF!</v>
      </c>
      <c r="M357" s="257" t="e">
        <f t="shared" si="275"/>
        <v>#REF!</v>
      </c>
      <c r="N357" s="257" t="e">
        <f t="shared" si="276"/>
        <v>#REF!</v>
      </c>
      <c r="O357" s="257" t="e">
        <f t="shared" si="277"/>
        <v>#REF!</v>
      </c>
    </row>
    <row r="358" spans="1:15" ht="12.75" hidden="1" customHeight="1" x14ac:dyDescent="0.2">
      <c r="A358" s="259" t="s">
        <v>347</v>
      </c>
      <c r="B358" s="252" t="s">
        <v>343</v>
      </c>
      <c r="C358" s="252" t="s">
        <v>190</v>
      </c>
      <c r="D358" s="252" t="s">
        <v>200</v>
      </c>
      <c r="E358" s="260" t="s">
        <v>334</v>
      </c>
      <c r="F358" s="252"/>
      <c r="G358" s="257" t="e">
        <v>#REF!</v>
      </c>
      <c r="H358" s="257" t="e">
        <v>#REF!</v>
      </c>
      <c r="I358" s="257" t="e">
        <v>#REF!</v>
      </c>
      <c r="J358" s="257" t="e">
        <f>#REF!+H358</f>
        <v>#REF!</v>
      </c>
      <c r="K358" s="257" t="e">
        <f t="shared" si="273"/>
        <v>#REF!</v>
      </c>
      <c r="L358" s="257" t="e">
        <f t="shared" si="274"/>
        <v>#REF!</v>
      </c>
      <c r="M358" s="257" t="e">
        <f t="shared" si="275"/>
        <v>#REF!</v>
      </c>
      <c r="N358" s="257" t="e">
        <f t="shared" si="276"/>
        <v>#REF!</v>
      </c>
      <c r="O358" s="257" t="e">
        <f t="shared" si="277"/>
        <v>#REF!</v>
      </c>
    </row>
    <row r="359" spans="1:15" ht="15.75" hidden="1" customHeight="1" x14ac:dyDescent="0.2">
      <c r="A359" s="259" t="s">
        <v>348</v>
      </c>
      <c r="B359" s="252" t="s">
        <v>343</v>
      </c>
      <c r="C359" s="252" t="s">
        <v>190</v>
      </c>
      <c r="D359" s="252" t="s">
        <v>200</v>
      </c>
      <c r="E359" s="260" t="s">
        <v>334</v>
      </c>
      <c r="F359" s="252"/>
      <c r="G359" s="257" t="e">
        <v>#REF!</v>
      </c>
      <c r="H359" s="257" t="e">
        <v>#REF!</v>
      </c>
      <c r="I359" s="257" t="e">
        <v>#REF!</v>
      </c>
      <c r="J359" s="257" t="e">
        <f>#REF!+H359</f>
        <v>#REF!</v>
      </c>
      <c r="K359" s="257" t="e">
        <f t="shared" si="273"/>
        <v>#REF!</v>
      </c>
      <c r="L359" s="257" t="e">
        <f t="shared" si="274"/>
        <v>#REF!</v>
      </c>
      <c r="M359" s="257" t="e">
        <f t="shared" si="275"/>
        <v>#REF!</v>
      </c>
      <c r="N359" s="257" t="e">
        <f t="shared" si="276"/>
        <v>#REF!</v>
      </c>
      <c r="O359" s="257" t="e">
        <f t="shared" si="277"/>
        <v>#REF!</v>
      </c>
    </row>
    <row r="360" spans="1:15" ht="12.75" hidden="1" customHeight="1" x14ac:dyDescent="0.2">
      <c r="A360" s="259" t="s">
        <v>149</v>
      </c>
      <c r="B360" s="252" t="s">
        <v>343</v>
      </c>
      <c r="C360" s="252" t="s">
        <v>190</v>
      </c>
      <c r="D360" s="252" t="s">
        <v>200</v>
      </c>
      <c r="E360" s="260" t="s">
        <v>334</v>
      </c>
      <c r="F360" s="252" t="s">
        <v>150</v>
      </c>
      <c r="G360" s="257" t="e">
        <v>#REF!</v>
      </c>
      <c r="H360" s="257" t="e">
        <v>#REF!</v>
      </c>
      <c r="I360" s="257" t="e">
        <v>#REF!</v>
      </c>
      <c r="J360" s="257" t="e">
        <f>#REF!+H360</f>
        <v>#REF!</v>
      </c>
      <c r="K360" s="257" t="e">
        <f t="shared" si="273"/>
        <v>#REF!</v>
      </c>
      <c r="L360" s="257" t="e">
        <f t="shared" si="274"/>
        <v>#REF!</v>
      </c>
      <c r="M360" s="257" t="e">
        <f t="shared" si="275"/>
        <v>#REF!</v>
      </c>
      <c r="N360" s="257" t="e">
        <f t="shared" si="276"/>
        <v>#REF!</v>
      </c>
      <c r="O360" s="257" t="e">
        <f t="shared" si="277"/>
        <v>#REF!</v>
      </c>
    </row>
    <row r="361" spans="1:15" ht="12.75" hidden="1" customHeight="1" x14ac:dyDescent="0.2">
      <c r="A361" s="259" t="s">
        <v>63</v>
      </c>
      <c r="B361" s="252" t="s">
        <v>343</v>
      </c>
      <c r="C361" s="252" t="s">
        <v>190</v>
      </c>
      <c r="D361" s="252" t="s">
        <v>200</v>
      </c>
      <c r="E361" s="260" t="s">
        <v>334</v>
      </c>
      <c r="F361" s="252" t="s">
        <v>64</v>
      </c>
      <c r="G361" s="257" t="e">
        <v>#REF!</v>
      </c>
      <c r="H361" s="257" t="e">
        <v>#REF!</v>
      </c>
      <c r="I361" s="257" t="e">
        <v>#REF!</v>
      </c>
      <c r="J361" s="257" t="e">
        <f>#REF!+H361</f>
        <v>#REF!</v>
      </c>
      <c r="K361" s="257" t="e">
        <f t="shared" si="273"/>
        <v>#REF!</v>
      </c>
      <c r="L361" s="257" t="e">
        <f t="shared" si="274"/>
        <v>#REF!</v>
      </c>
      <c r="M361" s="257" t="e">
        <f t="shared" si="275"/>
        <v>#REF!</v>
      </c>
      <c r="N361" s="257" t="e">
        <f t="shared" si="276"/>
        <v>#REF!</v>
      </c>
      <c r="O361" s="257" t="e">
        <f t="shared" si="277"/>
        <v>#REF!</v>
      </c>
    </row>
    <row r="362" spans="1:15" hidden="1" x14ac:dyDescent="0.2">
      <c r="A362" s="259" t="s">
        <v>103</v>
      </c>
      <c r="B362" s="252" t="s">
        <v>343</v>
      </c>
      <c r="C362" s="252" t="s">
        <v>190</v>
      </c>
      <c r="D362" s="252" t="s">
        <v>200</v>
      </c>
      <c r="E362" s="260" t="s">
        <v>334</v>
      </c>
      <c r="F362" s="252" t="s">
        <v>104</v>
      </c>
      <c r="G362" s="257">
        <v>-560</v>
      </c>
      <c r="H362" s="257">
        <v>-910</v>
      </c>
      <c r="I362" s="257">
        <v>-910</v>
      </c>
      <c r="J362" s="257" t="e">
        <f>#REF!+H362</f>
        <v>#REF!</v>
      </c>
      <c r="K362" s="257">
        <f t="shared" si="273"/>
        <v>-1470</v>
      </c>
      <c r="L362" s="257" t="e">
        <f t="shared" si="274"/>
        <v>#REF!</v>
      </c>
      <c r="M362" s="257" t="e">
        <f t="shared" si="275"/>
        <v>#REF!</v>
      </c>
      <c r="N362" s="257" t="e">
        <f t="shared" si="276"/>
        <v>#REF!</v>
      </c>
      <c r="O362" s="257" t="e">
        <f t="shared" si="277"/>
        <v>#REF!</v>
      </c>
    </row>
    <row r="363" spans="1:15" ht="26.25" hidden="1" customHeight="1" x14ac:dyDescent="0.2">
      <c r="A363" s="259" t="s">
        <v>971</v>
      </c>
      <c r="B363" s="252" t="s">
        <v>343</v>
      </c>
      <c r="C363" s="252" t="s">
        <v>190</v>
      </c>
      <c r="D363" s="252" t="s">
        <v>200</v>
      </c>
      <c r="E363" s="260" t="s">
        <v>460</v>
      </c>
      <c r="F363" s="252"/>
      <c r="G363" s="257" t="e">
        <v>#REF!</v>
      </c>
      <c r="H363" s="257" t="e">
        <v>#REF!</v>
      </c>
      <c r="I363" s="257" t="e">
        <v>#REF!</v>
      </c>
      <c r="J363" s="257" t="e">
        <f t="shared" ref="J363:M364" si="278">J364</f>
        <v>#REF!</v>
      </c>
      <c r="K363" s="257" t="e">
        <f>L364</f>
        <v>#REF!</v>
      </c>
      <c r="L363" s="257" t="e">
        <f t="shared" ref="L363:O364" si="279">L364</f>
        <v>#REF!</v>
      </c>
      <c r="M363" s="257" t="e">
        <f t="shared" si="278"/>
        <v>#REF!</v>
      </c>
      <c r="N363" s="257" t="e">
        <f t="shared" si="279"/>
        <v>#REF!</v>
      </c>
      <c r="O363" s="257" t="e">
        <f t="shared" si="279"/>
        <v>#REF!</v>
      </c>
    </row>
    <row r="364" spans="1:15" ht="44.25" hidden="1" customHeight="1" x14ac:dyDescent="0.2">
      <c r="A364" s="259" t="s">
        <v>993</v>
      </c>
      <c r="B364" s="252" t="s">
        <v>343</v>
      </c>
      <c r="C364" s="252" t="s">
        <v>190</v>
      </c>
      <c r="D364" s="252" t="s">
        <v>200</v>
      </c>
      <c r="E364" s="260" t="s">
        <v>461</v>
      </c>
      <c r="F364" s="252"/>
      <c r="G364" s="257" t="e">
        <v>#REF!</v>
      </c>
      <c r="H364" s="257" t="e">
        <v>#REF!</v>
      </c>
      <c r="I364" s="257" t="e">
        <v>#REF!</v>
      </c>
      <c r="J364" s="257" t="e">
        <f t="shared" si="278"/>
        <v>#REF!</v>
      </c>
      <c r="K364" s="257" t="e">
        <f>L365</f>
        <v>#REF!</v>
      </c>
      <c r="L364" s="257" t="e">
        <f t="shared" si="279"/>
        <v>#REF!</v>
      </c>
      <c r="M364" s="257" t="e">
        <f t="shared" si="279"/>
        <v>#REF!</v>
      </c>
      <c r="N364" s="257" t="e">
        <f t="shared" si="279"/>
        <v>#REF!</v>
      </c>
      <c r="O364" s="257" t="e">
        <f t="shared" si="279"/>
        <v>#REF!</v>
      </c>
    </row>
    <row r="365" spans="1:15" ht="27.75" hidden="1" customHeight="1" x14ac:dyDescent="0.2">
      <c r="A365" s="259" t="s">
        <v>978</v>
      </c>
      <c r="B365" s="252" t="s">
        <v>343</v>
      </c>
      <c r="C365" s="252" t="s">
        <v>190</v>
      </c>
      <c r="D365" s="252" t="s">
        <v>200</v>
      </c>
      <c r="E365" s="252" t="s">
        <v>464</v>
      </c>
      <c r="F365" s="252"/>
      <c r="G365" s="257" t="e">
        <v>#REF!</v>
      </c>
      <c r="H365" s="257" t="e">
        <v>#REF!</v>
      </c>
      <c r="I365" s="257" t="e">
        <v>#REF!</v>
      </c>
      <c r="J365" s="257" t="e">
        <f t="shared" ref="J365" si="280">J366+J367+J368+J369+J370+J371</f>
        <v>#REF!</v>
      </c>
      <c r="K365" s="257" t="e">
        <f>L366+L367+L368+L369+L370+L371</f>
        <v>#REF!</v>
      </c>
      <c r="L365" s="257" t="e">
        <f t="shared" ref="L365" si="281">L366+L367+L368+L369+L370+L371</f>
        <v>#REF!</v>
      </c>
      <c r="M365" s="257" t="e">
        <f t="shared" ref="M365:N365" si="282">M366+M367+M368+M369+M370+M371</f>
        <v>#REF!</v>
      </c>
      <c r="N365" s="257" t="e">
        <f t="shared" si="282"/>
        <v>#REF!</v>
      </c>
      <c r="O365" s="257" t="e">
        <f t="shared" ref="O365" si="283">O366+O367+O368+O369+O370+O371</f>
        <v>#REF!</v>
      </c>
    </row>
    <row r="366" spans="1:15" ht="12.75" hidden="1" customHeight="1" x14ac:dyDescent="0.2">
      <c r="A366" s="259" t="s">
        <v>95</v>
      </c>
      <c r="B366" s="252" t="s">
        <v>343</v>
      </c>
      <c r="C366" s="252" t="s">
        <v>190</v>
      </c>
      <c r="D366" s="252" t="s">
        <v>200</v>
      </c>
      <c r="E366" s="252" t="s">
        <v>464</v>
      </c>
      <c r="F366" s="252" t="s">
        <v>96</v>
      </c>
      <c r="G366" s="257" t="e">
        <v>#REF!</v>
      </c>
      <c r="H366" s="257" t="e">
        <v>#REF!</v>
      </c>
      <c r="I366" s="257" t="e">
        <v>#REF!</v>
      </c>
      <c r="J366" s="257" t="e">
        <f>#REF!+H366</f>
        <v>#REF!</v>
      </c>
      <c r="K366" s="257" t="e">
        <f>#REF!+I366</f>
        <v>#REF!</v>
      </c>
      <c r="L366" s="257" t="e">
        <f>#REF!+J366</f>
        <v>#REF!</v>
      </c>
      <c r="M366" s="257" t="e">
        <f>#REF!+L366</f>
        <v>#REF!</v>
      </c>
      <c r="N366" s="257" t="e">
        <f>#REF!+L366</f>
        <v>#REF!</v>
      </c>
      <c r="O366" s="257" t="e">
        <f>#REF!+M366</f>
        <v>#REF!</v>
      </c>
    </row>
    <row r="367" spans="1:15" ht="12.75" hidden="1" customHeight="1" x14ac:dyDescent="0.2">
      <c r="A367" s="259" t="s">
        <v>97</v>
      </c>
      <c r="B367" s="252" t="s">
        <v>343</v>
      </c>
      <c r="C367" s="252" t="s">
        <v>190</v>
      </c>
      <c r="D367" s="252" t="s">
        <v>200</v>
      </c>
      <c r="E367" s="252" t="s">
        <v>464</v>
      </c>
      <c r="F367" s="252" t="s">
        <v>98</v>
      </c>
      <c r="G367" s="257" t="e">
        <v>#REF!</v>
      </c>
      <c r="H367" s="257" t="e">
        <v>#REF!</v>
      </c>
      <c r="I367" s="257" t="e">
        <v>#REF!</v>
      </c>
      <c r="J367" s="257" t="e">
        <f>#REF!+H367</f>
        <v>#REF!</v>
      </c>
      <c r="K367" s="257" t="e">
        <f>#REF!+I367</f>
        <v>#REF!</v>
      </c>
      <c r="L367" s="257" t="e">
        <f>#REF!+J367</f>
        <v>#REF!</v>
      </c>
      <c r="M367" s="257" t="e">
        <f>#REF!+L367</f>
        <v>#REF!</v>
      </c>
      <c r="N367" s="257" t="e">
        <f>#REF!+L367</f>
        <v>#REF!</v>
      </c>
      <c r="O367" s="257" t="e">
        <f>#REF!+M367</f>
        <v>#REF!</v>
      </c>
    </row>
    <row r="368" spans="1:15" ht="18.75" hidden="1" customHeight="1" x14ac:dyDescent="0.2">
      <c r="A368" s="259" t="s">
        <v>99</v>
      </c>
      <c r="B368" s="252" t="s">
        <v>343</v>
      </c>
      <c r="C368" s="252" t="s">
        <v>190</v>
      </c>
      <c r="D368" s="252" t="s">
        <v>200</v>
      </c>
      <c r="E368" s="252" t="s">
        <v>464</v>
      </c>
      <c r="F368" s="252" t="s">
        <v>100</v>
      </c>
      <c r="G368" s="257" t="e">
        <v>#REF!</v>
      </c>
      <c r="H368" s="257" t="e">
        <v>#REF!</v>
      </c>
      <c r="I368" s="257" t="e">
        <v>#REF!</v>
      </c>
      <c r="J368" s="257" t="e">
        <f>#REF!+H368</f>
        <v>#REF!</v>
      </c>
      <c r="K368" s="257" t="e">
        <f>#REF!+I368</f>
        <v>#REF!</v>
      </c>
      <c r="L368" s="257" t="e">
        <f>#REF!+J368</f>
        <v>#REF!</v>
      </c>
      <c r="M368" s="257" t="e">
        <f>#REF!+L368</f>
        <v>#REF!</v>
      </c>
      <c r="N368" s="257" t="e">
        <f>#REF!+L368</f>
        <v>#REF!</v>
      </c>
      <c r="O368" s="257" t="e">
        <f>#REF!+M368</f>
        <v>#REF!</v>
      </c>
    </row>
    <row r="369" spans="1:15" ht="18.75" hidden="1" customHeight="1" x14ac:dyDescent="0.2">
      <c r="A369" s="259" t="s">
        <v>93</v>
      </c>
      <c r="B369" s="252" t="s">
        <v>343</v>
      </c>
      <c r="C369" s="252" t="s">
        <v>190</v>
      </c>
      <c r="D369" s="252" t="s">
        <v>200</v>
      </c>
      <c r="E369" s="252" t="s">
        <v>464</v>
      </c>
      <c r="F369" s="252" t="s">
        <v>94</v>
      </c>
      <c r="G369" s="257" t="e">
        <v>#REF!</v>
      </c>
      <c r="H369" s="257" t="e">
        <v>#REF!</v>
      </c>
      <c r="I369" s="257" t="e">
        <v>#REF!</v>
      </c>
      <c r="J369" s="257" t="e">
        <f>#REF!+H369</f>
        <v>#REF!</v>
      </c>
      <c r="K369" s="257" t="e">
        <f>#REF!+I369</f>
        <v>#REF!</v>
      </c>
      <c r="L369" s="257" t="e">
        <f>#REF!+J369</f>
        <v>#REF!</v>
      </c>
      <c r="M369" s="257" t="e">
        <f>#REF!+L369</f>
        <v>#REF!</v>
      </c>
      <c r="N369" s="257" t="e">
        <f>#REF!+L369</f>
        <v>#REF!</v>
      </c>
      <c r="O369" s="257" t="e">
        <f>#REF!+M369</f>
        <v>#REF!</v>
      </c>
    </row>
    <row r="370" spans="1:15" ht="12.75" hidden="1" customHeight="1" x14ac:dyDescent="0.2">
      <c r="A370" s="259" t="s">
        <v>103</v>
      </c>
      <c r="B370" s="252" t="s">
        <v>343</v>
      </c>
      <c r="C370" s="252" t="s">
        <v>190</v>
      </c>
      <c r="D370" s="252" t="s">
        <v>200</v>
      </c>
      <c r="E370" s="252" t="s">
        <v>464</v>
      </c>
      <c r="F370" s="252" t="s">
        <v>104</v>
      </c>
      <c r="G370" s="257" t="e">
        <v>#REF!</v>
      </c>
      <c r="H370" s="257" t="e">
        <v>#REF!</v>
      </c>
      <c r="I370" s="257" t="e">
        <v>#REF!</v>
      </c>
      <c r="J370" s="257" t="e">
        <f>#REF!+H370</f>
        <v>#REF!</v>
      </c>
      <c r="K370" s="257" t="e">
        <f>#REF!+I370</f>
        <v>#REF!</v>
      </c>
      <c r="L370" s="257" t="e">
        <f>#REF!+J370</f>
        <v>#REF!</v>
      </c>
      <c r="M370" s="257" t="e">
        <f>#REF!+L370</f>
        <v>#REF!</v>
      </c>
      <c r="N370" s="257" t="e">
        <f>#REF!+L370</f>
        <v>#REF!</v>
      </c>
      <c r="O370" s="257" t="e">
        <f>#REF!+M370</f>
        <v>#REF!</v>
      </c>
    </row>
    <row r="371" spans="1:15" ht="12.75" hidden="1" customHeight="1" x14ac:dyDescent="0.2">
      <c r="A371" s="259" t="s">
        <v>400</v>
      </c>
      <c r="B371" s="252" t="s">
        <v>343</v>
      </c>
      <c r="C371" s="252" t="s">
        <v>190</v>
      </c>
      <c r="D371" s="252" t="s">
        <v>200</v>
      </c>
      <c r="E371" s="252" t="s">
        <v>464</v>
      </c>
      <c r="F371" s="252" t="s">
        <v>106</v>
      </c>
      <c r="G371" s="257" t="e">
        <v>#REF!</v>
      </c>
      <c r="H371" s="257" t="e">
        <v>#REF!</v>
      </c>
      <c r="I371" s="257" t="e">
        <v>#REF!</v>
      </c>
      <c r="J371" s="257" t="e">
        <f>#REF!+H371</f>
        <v>#REF!</v>
      </c>
      <c r="K371" s="257" t="e">
        <f>#REF!+I371</f>
        <v>#REF!</v>
      </c>
      <c r="L371" s="257" t="e">
        <f>#REF!+J371</f>
        <v>#REF!</v>
      </c>
      <c r="M371" s="257" t="e">
        <f>#REF!+L371</f>
        <v>#REF!</v>
      </c>
      <c r="N371" s="257" t="e">
        <f>#REF!+L371</f>
        <v>#REF!</v>
      </c>
      <c r="O371" s="257" t="e">
        <f>#REF!+M371</f>
        <v>#REF!</v>
      </c>
    </row>
    <row r="372" spans="1:15" ht="33.75" customHeight="1" x14ac:dyDescent="0.2">
      <c r="A372" s="259" t="s">
        <v>978</v>
      </c>
      <c r="B372" s="252" t="s">
        <v>343</v>
      </c>
      <c r="C372" s="252" t="s">
        <v>190</v>
      </c>
      <c r="D372" s="252" t="s">
        <v>200</v>
      </c>
      <c r="E372" s="252" t="s">
        <v>1023</v>
      </c>
      <c r="F372" s="252"/>
      <c r="G372" s="257">
        <v>4947</v>
      </c>
      <c r="H372" s="257">
        <v>2714</v>
      </c>
      <c r="I372" s="257">
        <v>4947</v>
      </c>
      <c r="J372" s="257">
        <f t="shared" ref="J372" si="284">J373+J374+J375+J376+J377+J378+J379+J380+J381+J382</f>
        <v>-257.39999999999998</v>
      </c>
      <c r="K372" s="257">
        <f>L373+L374+L375+L376+L377+L378+L379+L380+L381+L382</f>
        <v>4689.6000000000004</v>
      </c>
      <c r="L372" s="257">
        <f t="shared" ref="L372" si="285">L373+L374+L375+L376+L377+L378+L379+L380+L381+L382</f>
        <v>4689.6000000000004</v>
      </c>
      <c r="M372" s="257">
        <f t="shared" ref="M372:N372" si="286">M373+M374+M375+M376+M377+M378+M379+M380+M381+M382</f>
        <v>-95</v>
      </c>
      <c r="N372" s="257">
        <f t="shared" si="286"/>
        <v>4594.6000000000004</v>
      </c>
      <c r="O372" s="257">
        <f t="shared" ref="O372" si="287">O373+O374+O375+O376+O377+O378+O379+O380+O381+O382</f>
        <v>4436.6000000000004</v>
      </c>
    </row>
    <row r="373" spans="1:15" ht="12.75" customHeight="1" x14ac:dyDescent="0.2">
      <c r="A373" s="259" t="s">
        <v>95</v>
      </c>
      <c r="B373" s="252" t="s">
        <v>343</v>
      </c>
      <c r="C373" s="252" t="s">
        <v>190</v>
      </c>
      <c r="D373" s="252" t="s">
        <v>200</v>
      </c>
      <c r="E373" s="252" t="s">
        <v>1023</v>
      </c>
      <c r="F373" s="252" t="s">
        <v>96</v>
      </c>
      <c r="G373" s="257">
        <v>1959</v>
      </c>
      <c r="H373" s="257">
        <v>2366</v>
      </c>
      <c r="I373" s="257">
        <v>3000</v>
      </c>
      <c r="J373" s="257">
        <v>-157</v>
      </c>
      <c r="K373" s="257">
        <f t="shared" ref="K373:L383" si="288">I373+J373</f>
        <v>2843</v>
      </c>
      <c r="L373" s="257">
        <v>2843</v>
      </c>
      <c r="M373" s="257">
        <v>0</v>
      </c>
      <c r="N373" s="257">
        <f t="shared" ref="N373:N383" si="289">L373+M373</f>
        <v>2843</v>
      </c>
      <c r="O373" s="257">
        <v>2843</v>
      </c>
    </row>
    <row r="374" spans="1:15" ht="30.75" customHeight="1" x14ac:dyDescent="0.2">
      <c r="A374" s="375" t="s">
        <v>898</v>
      </c>
      <c r="B374" s="252" t="s">
        <v>343</v>
      </c>
      <c r="C374" s="252" t="s">
        <v>190</v>
      </c>
      <c r="D374" s="252" t="s">
        <v>200</v>
      </c>
      <c r="E374" s="252" t="s">
        <v>1023</v>
      </c>
      <c r="F374" s="252" t="s">
        <v>896</v>
      </c>
      <c r="G374" s="257">
        <v>959</v>
      </c>
      <c r="H374" s="257">
        <v>348</v>
      </c>
      <c r="I374" s="257">
        <v>959</v>
      </c>
      <c r="J374" s="257">
        <v>-100.4</v>
      </c>
      <c r="K374" s="257">
        <f t="shared" si="288"/>
        <v>858.6</v>
      </c>
      <c r="L374" s="257">
        <v>858.6</v>
      </c>
      <c r="M374" s="257">
        <v>0</v>
      </c>
      <c r="N374" s="257">
        <f t="shared" si="289"/>
        <v>858.6</v>
      </c>
      <c r="O374" s="257">
        <v>858.6</v>
      </c>
    </row>
    <row r="375" spans="1:15" ht="16.5" hidden="1" customHeight="1" x14ac:dyDescent="0.2">
      <c r="A375" s="259" t="s">
        <v>907</v>
      </c>
      <c r="B375" s="252" t="s">
        <v>343</v>
      </c>
      <c r="C375" s="252" t="s">
        <v>190</v>
      </c>
      <c r="D375" s="252" t="s">
        <v>200</v>
      </c>
      <c r="E375" s="252" t="s">
        <v>1085</v>
      </c>
      <c r="F375" s="252" t="s">
        <v>96</v>
      </c>
      <c r="G375" s="257">
        <v>800</v>
      </c>
      <c r="H375" s="257">
        <v>0</v>
      </c>
      <c r="I375" s="257">
        <v>0</v>
      </c>
      <c r="J375" s="257">
        <v>0</v>
      </c>
      <c r="K375" s="257">
        <f t="shared" si="288"/>
        <v>0</v>
      </c>
      <c r="L375" s="257">
        <v>0</v>
      </c>
      <c r="M375" s="257">
        <v>0</v>
      </c>
      <c r="N375" s="257">
        <f t="shared" si="289"/>
        <v>0</v>
      </c>
      <c r="O375" s="257">
        <v>0</v>
      </c>
    </row>
    <row r="376" spans="1:15" ht="30.75" hidden="1" customHeight="1" x14ac:dyDescent="0.2">
      <c r="A376" s="375" t="s">
        <v>898</v>
      </c>
      <c r="B376" s="252" t="s">
        <v>343</v>
      </c>
      <c r="C376" s="252" t="s">
        <v>190</v>
      </c>
      <c r="D376" s="252" t="s">
        <v>200</v>
      </c>
      <c r="E376" s="252" t="s">
        <v>1085</v>
      </c>
      <c r="F376" s="252" t="s">
        <v>896</v>
      </c>
      <c r="G376" s="257">
        <v>241</v>
      </c>
      <c r="H376" s="257">
        <v>0</v>
      </c>
      <c r="I376" s="257">
        <v>0</v>
      </c>
      <c r="J376" s="257">
        <v>0</v>
      </c>
      <c r="K376" s="257">
        <f t="shared" si="288"/>
        <v>0</v>
      </c>
      <c r="L376" s="257">
        <v>0</v>
      </c>
      <c r="M376" s="257">
        <v>0</v>
      </c>
      <c r="N376" s="257">
        <f t="shared" si="289"/>
        <v>0</v>
      </c>
      <c r="O376" s="257">
        <v>0</v>
      </c>
    </row>
    <row r="377" spans="1:15" ht="13.5" customHeight="1" x14ac:dyDescent="0.2">
      <c r="A377" s="259" t="s">
        <v>97</v>
      </c>
      <c r="B377" s="252" t="s">
        <v>343</v>
      </c>
      <c r="C377" s="252" t="s">
        <v>190</v>
      </c>
      <c r="D377" s="252" t="s">
        <v>200</v>
      </c>
      <c r="E377" s="252" t="s">
        <v>1023</v>
      </c>
      <c r="F377" s="252" t="s">
        <v>98</v>
      </c>
      <c r="G377" s="257">
        <v>60</v>
      </c>
      <c r="H377" s="257">
        <v>0</v>
      </c>
      <c r="I377" s="257">
        <v>60</v>
      </c>
      <c r="J377" s="257">
        <v>0</v>
      </c>
      <c r="K377" s="257">
        <f t="shared" si="288"/>
        <v>60</v>
      </c>
      <c r="L377" s="257">
        <v>60</v>
      </c>
      <c r="M377" s="257">
        <v>-30</v>
      </c>
      <c r="N377" s="257">
        <f t="shared" si="289"/>
        <v>30</v>
      </c>
      <c r="O377" s="257">
        <v>30</v>
      </c>
    </row>
    <row r="378" spans="1:15" ht="12.75" hidden="1" customHeight="1" x14ac:dyDescent="0.2">
      <c r="A378" s="259" t="s">
        <v>99</v>
      </c>
      <c r="B378" s="252" t="s">
        <v>343</v>
      </c>
      <c r="C378" s="252" t="s">
        <v>190</v>
      </c>
      <c r="D378" s="252" t="s">
        <v>200</v>
      </c>
      <c r="E378" s="252" t="s">
        <v>1023</v>
      </c>
      <c r="F378" s="252" t="s">
        <v>100</v>
      </c>
      <c r="G378" s="257">
        <v>408</v>
      </c>
      <c r="H378" s="257">
        <v>0</v>
      </c>
      <c r="I378" s="257">
        <v>408</v>
      </c>
      <c r="J378" s="257">
        <v>-408</v>
      </c>
      <c r="K378" s="257">
        <f t="shared" si="288"/>
        <v>0</v>
      </c>
      <c r="L378" s="257">
        <v>0</v>
      </c>
      <c r="M378" s="257">
        <v>0</v>
      </c>
      <c r="N378" s="257">
        <f t="shared" si="289"/>
        <v>0</v>
      </c>
      <c r="O378" s="257">
        <v>0</v>
      </c>
    </row>
    <row r="379" spans="1:15" ht="12.75" customHeight="1" x14ac:dyDescent="0.2">
      <c r="A379" s="259" t="s">
        <v>93</v>
      </c>
      <c r="B379" s="252" t="s">
        <v>343</v>
      </c>
      <c r="C379" s="252" t="s">
        <v>190</v>
      </c>
      <c r="D379" s="252" t="s">
        <v>200</v>
      </c>
      <c r="E379" s="252" t="s">
        <v>1023</v>
      </c>
      <c r="F379" s="252" t="s">
        <v>94</v>
      </c>
      <c r="G379" s="257">
        <v>430</v>
      </c>
      <c r="H379" s="257">
        <v>-80</v>
      </c>
      <c r="I379" s="257">
        <v>430</v>
      </c>
      <c r="J379" s="257">
        <v>408</v>
      </c>
      <c r="K379" s="257">
        <f t="shared" si="288"/>
        <v>838</v>
      </c>
      <c r="L379" s="257">
        <v>838</v>
      </c>
      <c r="M379" s="257">
        <v>-80</v>
      </c>
      <c r="N379" s="257">
        <f t="shared" si="289"/>
        <v>758</v>
      </c>
      <c r="O379" s="257">
        <v>600</v>
      </c>
    </row>
    <row r="380" spans="1:15" ht="12.75" customHeight="1" x14ac:dyDescent="0.2">
      <c r="A380" s="259" t="s">
        <v>1168</v>
      </c>
      <c r="B380" s="252" t="s">
        <v>343</v>
      </c>
      <c r="C380" s="252" t="s">
        <v>190</v>
      </c>
      <c r="D380" s="252" t="s">
        <v>200</v>
      </c>
      <c r="E380" s="252" t="s">
        <v>1023</v>
      </c>
      <c r="F380" s="252" t="s">
        <v>1166</v>
      </c>
      <c r="G380" s="257">
        <v>0</v>
      </c>
      <c r="H380" s="257">
        <v>80</v>
      </c>
      <c r="I380" s="257">
        <v>0</v>
      </c>
      <c r="J380" s="257">
        <v>0</v>
      </c>
      <c r="K380" s="257">
        <f t="shared" si="288"/>
        <v>0</v>
      </c>
      <c r="L380" s="257">
        <v>0</v>
      </c>
      <c r="M380" s="257">
        <v>80</v>
      </c>
      <c r="N380" s="257">
        <f t="shared" si="289"/>
        <v>80</v>
      </c>
      <c r="O380" s="257">
        <v>80</v>
      </c>
    </row>
    <row r="381" spans="1:15" ht="12.75" customHeight="1" x14ac:dyDescent="0.2">
      <c r="A381" s="259" t="s">
        <v>103</v>
      </c>
      <c r="B381" s="252" t="s">
        <v>343</v>
      </c>
      <c r="C381" s="252" t="s">
        <v>190</v>
      </c>
      <c r="D381" s="252" t="s">
        <v>200</v>
      </c>
      <c r="E381" s="252" t="s">
        <v>1023</v>
      </c>
      <c r="F381" s="252" t="s">
        <v>104</v>
      </c>
      <c r="G381" s="257">
        <v>25</v>
      </c>
      <c r="H381" s="257">
        <v>0</v>
      </c>
      <c r="I381" s="257">
        <v>25</v>
      </c>
      <c r="J381" s="257">
        <v>0</v>
      </c>
      <c r="K381" s="257">
        <f t="shared" si="288"/>
        <v>25</v>
      </c>
      <c r="L381" s="257">
        <v>25</v>
      </c>
      <c r="M381" s="257">
        <v>0</v>
      </c>
      <c r="N381" s="257">
        <f t="shared" si="289"/>
        <v>25</v>
      </c>
      <c r="O381" s="257">
        <v>25</v>
      </c>
    </row>
    <row r="382" spans="1:15" ht="12.75" customHeight="1" x14ac:dyDescent="0.2">
      <c r="A382" s="259" t="s">
        <v>400</v>
      </c>
      <c r="B382" s="252" t="s">
        <v>343</v>
      </c>
      <c r="C382" s="252" t="s">
        <v>190</v>
      </c>
      <c r="D382" s="252" t="s">
        <v>200</v>
      </c>
      <c r="E382" s="252" t="s">
        <v>1023</v>
      </c>
      <c r="F382" s="252" t="s">
        <v>106</v>
      </c>
      <c r="G382" s="257">
        <v>65</v>
      </c>
      <c r="H382" s="257">
        <v>0</v>
      </c>
      <c r="I382" s="257">
        <v>65</v>
      </c>
      <c r="J382" s="257">
        <v>0</v>
      </c>
      <c r="K382" s="257">
        <f t="shared" si="288"/>
        <v>65</v>
      </c>
      <c r="L382" s="257">
        <v>65</v>
      </c>
      <c r="M382" s="257">
        <v>-65</v>
      </c>
      <c r="N382" s="257">
        <f t="shared" si="289"/>
        <v>0</v>
      </c>
      <c r="O382" s="257">
        <v>0</v>
      </c>
    </row>
    <row r="383" spans="1:15" ht="12.75" hidden="1" customHeight="1" x14ac:dyDescent="0.2">
      <c r="A383" s="259" t="s">
        <v>906</v>
      </c>
      <c r="B383" s="252" t="s">
        <v>343</v>
      </c>
      <c r="C383" s="252" t="s">
        <v>190</v>
      </c>
      <c r="D383" s="252" t="s">
        <v>200</v>
      </c>
      <c r="E383" s="252" t="s">
        <v>1023</v>
      </c>
      <c r="F383" s="252" t="s">
        <v>905</v>
      </c>
      <c r="G383" s="257">
        <v>0</v>
      </c>
      <c r="H383" s="257">
        <v>0</v>
      </c>
      <c r="I383" s="257">
        <v>0</v>
      </c>
      <c r="J383" s="257">
        <v>0</v>
      </c>
      <c r="K383" s="257">
        <f t="shared" si="288"/>
        <v>0</v>
      </c>
      <c r="L383" s="257">
        <f t="shared" si="288"/>
        <v>0</v>
      </c>
      <c r="M383" s="257">
        <v>0</v>
      </c>
      <c r="N383" s="257">
        <f t="shared" si="289"/>
        <v>0</v>
      </c>
      <c r="O383" s="257">
        <f t="shared" ref="O383" si="290">M383+N383</f>
        <v>0</v>
      </c>
    </row>
    <row r="384" spans="1:15" ht="20.25" customHeight="1" x14ac:dyDescent="0.2">
      <c r="A384" s="462" t="s">
        <v>206</v>
      </c>
      <c r="B384" s="250" t="s">
        <v>343</v>
      </c>
      <c r="C384" s="250" t="s">
        <v>190</v>
      </c>
      <c r="D384" s="250" t="s">
        <v>207</v>
      </c>
      <c r="E384" s="252"/>
      <c r="F384" s="252"/>
      <c r="G384" s="275">
        <v>3050</v>
      </c>
      <c r="H384" s="275">
        <v>240</v>
      </c>
      <c r="I384" s="275">
        <v>2400</v>
      </c>
      <c r="J384" s="275">
        <f t="shared" ref="J384" si="291">J385+J391</f>
        <v>0</v>
      </c>
      <c r="K384" s="275">
        <f>L385+L391</f>
        <v>8105</v>
      </c>
      <c r="L384" s="275">
        <f t="shared" ref="L384" si="292">L385+L391</f>
        <v>8105</v>
      </c>
      <c r="M384" s="275">
        <f t="shared" ref="M384:N384" si="293">M385+M391</f>
        <v>0</v>
      </c>
      <c r="N384" s="275">
        <f t="shared" si="293"/>
        <v>8105</v>
      </c>
      <c r="O384" s="275">
        <f t="shared" ref="O384" si="294">O385+O391</f>
        <v>8105</v>
      </c>
    </row>
    <row r="385" spans="1:15" ht="38.25" customHeight="1" x14ac:dyDescent="0.2">
      <c r="A385" s="259" t="s">
        <v>979</v>
      </c>
      <c r="B385" s="252" t="s">
        <v>343</v>
      </c>
      <c r="C385" s="252" t="s">
        <v>190</v>
      </c>
      <c r="D385" s="252" t="s">
        <v>207</v>
      </c>
      <c r="E385" s="252"/>
      <c r="F385" s="252"/>
      <c r="G385" s="257">
        <v>3050</v>
      </c>
      <c r="H385" s="257">
        <v>240</v>
      </c>
      <c r="I385" s="257">
        <v>2400</v>
      </c>
      <c r="J385" s="257">
        <f t="shared" ref="J385" si="295">J390+J386+J387+J388+J389</f>
        <v>0</v>
      </c>
      <c r="K385" s="257">
        <f>L390+L386+L387+L388+L389</f>
        <v>8105</v>
      </c>
      <c r="L385" s="257">
        <f t="shared" ref="L385" si="296">L390+L386+L387+L388+L389</f>
        <v>8105</v>
      </c>
      <c r="M385" s="257">
        <f t="shared" ref="M385:N385" si="297">M390+M386+M387+M388+M389</f>
        <v>0</v>
      </c>
      <c r="N385" s="257">
        <f t="shared" si="297"/>
        <v>8105</v>
      </c>
      <c r="O385" s="257">
        <f t="shared" ref="O385" si="298">O390+O386+O387+O388+O389</f>
        <v>8105</v>
      </c>
    </row>
    <row r="386" spans="1:15" ht="12.75" customHeight="1" x14ac:dyDescent="0.2">
      <c r="A386" s="259" t="s">
        <v>907</v>
      </c>
      <c r="B386" s="252" t="s">
        <v>343</v>
      </c>
      <c r="C386" s="252" t="s">
        <v>190</v>
      </c>
      <c r="D386" s="252" t="s">
        <v>207</v>
      </c>
      <c r="E386" s="252" t="s">
        <v>1023</v>
      </c>
      <c r="F386" s="252" t="s">
        <v>96</v>
      </c>
      <c r="G386" s="257">
        <v>1800</v>
      </c>
      <c r="H386" s="257">
        <v>85.13</v>
      </c>
      <c r="I386" s="257">
        <v>1800</v>
      </c>
      <c r="J386" s="257">
        <v>0</v>
      </c>
      <c r="K386" s="257">
        <f t="shared" ref="K386:L391" si="299">I386+J386</f>
        <v>1800</v>
      </c>
      <c r="L386" s="257">
        <v>6260</v>
      </c>
      <c r="M386" s="257">
        <v>0</v>
      </c>
      <c r="N386" s="257">
        <f t="shared" ref="N386:N391" si="300">L386+M386</f>
        <v>6260</v>
      </c>
      <c r="O386" s="257">
        <v>6260</v>
      </c>
    </row>
    <row r="387" spans="1:15" ht="31.5" customHeight="1" x14ac:dyDescent="0.2">
      <c r="A387" s="375" t="s">
        <v>898</v>
      </c>
      <c r="B387" s="252" t="s">
        <v>343</v>
      </c>
      <c r="C387" s="252" t="s">
        <v>190</v>
      </c>
      <c r="D387" s="252" t="s">
        <v>207</v>
      </c>
      <c r="E387" s="252" t="s">
        <v>1023</v>
      </c>
      <c r="F387" s="252" t="s">
        <v>896</v>
      </c>
      <c r="G387" s="257">
        <v>550</v>
      </c>
      <c r="H387" s="257">
        <v>52</v>
      </c>
      <c r="I387" s="257">
        <v>550</v>
      </c>
      <c r="J387" s="257">
        <v>0</v>
      </c>
      <c r="K387" s="257">
        <f t="shared" si="299"/>
        <v>550</v>
      </c>
      <c r="L387" s="257">
        <v>1845</v>
      </c>
      <c r="M387" s="257">
        <v>0</v>
      </c>
      <c r="N387" s="257">
        <f t="shared" si="300"/>
        <v>1845</v>
      </c>
      <c r="O387" s="257">
        <v>1845</v>
      </c>
    </row>
    <row r="388" spans="1:15" ht="17.25" hidden="1" customHeight="1" x14ac:dyDescent="0.2">
      <c r="A388" s="259" t="s">
        <v>907</v>
      </c>
      <c r="B388" s="252" t="s">
        <v>343</v>
      </c>
      <c r="C388" s="252" t="s">
        <v>190</v>
      </c>
      <c r="D388" s="252" t="s">
        <v>207</v>
      </c>
      <c r="E388" s="252" t="s">
        <v>1085</v>
      </c>
      <c r="F388" s="252" t="s">
        <v>96</v>
      </c>
      <c r="G388" s="257">
        <v>500</v>
      </c>
      <c r="H388" s="257">
        <v>102.87</v>
      </c>
      <c r="I388" s="257">
        <v>0</v>
      </c>
      <c r="J388" s="257">
        <v>0</v>
      </c>
      <c r="K388" s="257">
        <f t="shared" si="299"/>
        <v>0</v>
      </c>
      <c r="L388" s="257">
        <v>0</v>
      </c>
      <c r="M388" s="257">
        <v>0</v>
      </c>
      <c r="N388" s="257">
        <f t="shared" si="300"/>
        <v>0</v>
      </c>
      <c r="O388" s="257">
        <v>0</v>
      </c>
    </row>
    <row r="389" spans="1:15" ht="31.5" hidden="1" customHeight="1" x14ac:dyDescent="0.2">
      <c r="A389" s="375" t="s">
        <v>898</v>
      </c>
      <c r="B389" s="252" t="s">
        <v>343</v>
      </c>
      <c r="C389" s="252" t="s">
        <v>190</v>
      </c>
      <c r="D389" s="252" t="s">
        <v>207</v>
      </c>
      <c r="E389" s="252" t="s">
        <v>1085</v>
      </c>
      <c r="F389" s="252" t="s">
        <v>896</v>
      </c>
      <c r="G389" s="257">
        <v>150</v>
      </c>
      <c r="H389" s="257">
        <v>0</v>
      </c>
      <c r="I389" s="257">
        <v>0</v>
      </c>
      <c r="J389" s="257">
        <v>0</v>
      </c>
      <c r="K389" s="257">
        <f t="shared" si="299"/>
        <v>0</v>
      </c>
      <c r="L389" s="257">
        <v>0</v>
      </c>
      <c r="M389" s="257">
        <v>0</v>
      </c>
      <c r="N389" s="257">
        <f t="shared" si="300"/>
        <v>0</v>
      </c>
      <c r="O389" s="257">
        <v>0</v>
      </c>
    </row>
    <row r="390" spans="1:15" ht="12.75" hidden="1" customHeight="1" x14ac:dyDescent="0.2">
      <c r="A390" s="259" t="s">
        <v>93</v>
      </c>
      <c r="B390" s="252" t="s">
        <v>343</v>
      </c>
      <c r="C390" s="252" t="s">
        <v>190</v>
      </c>
      <c r="D390" s="252" t="s">
        <v>207</v>
      </c>
      <c r="E390" s="252" t="s">
        <v>1023</v>
      </c>
      <c r="F390" s="252" t="s">
        <v>94</v>
      </c>
      <c r="G390" s="257">
        <v>50</v>
      </c>
      <c r="H390" s="257">
        <v>0</v>
      </c>
      <c r="I390" s="257">
        <v>50</v>
      </c>
      <c r="J390" s="257">
        <v>0</v>
      </c>
      <c r="K390" s="257">
        <f t="shared" si="299"/>
        <v>50</v>
      </c>
      <c r="L390" s="257">
        <v>0</v>
      </c>
      <c r="M390" s="257">
        <v>0</v>
      </c>
      <c r="N390" s="257">
        <f t="shared" si="300"/>
        <v>0</v>
      </c>
      <c r="O390" s="257">
        <v>0</v>
      </c>
    </row>
    <row r="391" spans="1:15" ht="12.75" hidden="1" customHeight="1" x14ac:dyDescent="0.2">
      <c r="A391" s="259" t="s">
        <v>318</v>
      </c>
      <c r="B391" s="252" t="s">
        <v>343</v>
      </c>
      <c r="C391" s="252" t="s">
        <v>190</v>
      </c>
      <c r="D391" s="252" t="s">
        <v>207</v>
      </c>
      <c r="E391" s="252" t="s">
        <v>1023</v>
      </c>
      <c r="F391" s="252" t="s">
        <v>319</v>
      </c>
      <c r="G391" s="257">
        <v>0</v>
      </c>
      <c r="H391" s="257">
        <v>0</v>
      </c>
      <c r="I391" s="257">
        <v>0</v>
      </c>
      <c r="J391" s="257">
        <v>0</v>
      </c>
      <c r="K391" s="257">
        <f t="shared" si="299"/>
        <v>0</v>
      </c>
      <c r="L391" s="257">
        <f t="shared" si="299"/>
        <v>0</v>
      </c>
      <c r="M391" s="257">
        <v>0</v>
      </c>
      <c r="N391" s="257">
        <f t="shared" si="300"/>
        <v>0</v>
      </c>
      <c r="O391" s="257">
        <f t="shared" ref="O391" si="301">M391+N391</f>
        <v>0</v>
      </c>
    </row>
    <row r="392" spans="1:15" s="430" customFormat="1" ht="15.75" customHeight="1" x14ac:dyDescent="0.2">
      <c r="A392" s="462" t="s">
        <v>220</v>
      </c>
      <c r="B392" s="250" t="s">
        <v>343</v>
      </c>
      <c r="C392" s="250" t="s">
        <v>196</v>
      </c>
      <c r="D392" s="250">
        <v>12</v>
      </c>
      <c r="E392" s="250"/>
      <c r="F392" s="250"/>
      <c r="G392" s="275">
        <v>506.9</v>
      </c>
      <c r="H392" s="275">
        <v>-2.8</v>
      </c>
      <c r="I392" s="275">
        <v>444.1</v>
      </c>
      <c r="J392" s="275">
        <f t="shared" ref="J392" si="302">J393+J396+J399</f>
        <v>-134.9</v>
      </c>
      <c r="K392" s="275">
        <f>L393+L396+L399</f>
        <v>317</v>
      </c>
      <c r="L392" s="275">
        <f>L393+L396+L399</f>
        <v>317</v>
      </c>
      <c r="M392" s="275">
        <f t="shared" ref="M392:O392" si="303">M393+M396+M399</f>
        <v>10.399999999999999</v>
      </c>
      <c r="N392" s="275">
        <f t="shared" si="303"/>
        <v>327.39999999999998</v>
      </c>
      <c r="O392" s="275">
        <f t="shared" si="303"/>
        <v>327.39999999999998</v>
      </c>
    </row>
    <row r="393" spans="1:15" ht="33" customHeight="1" x14ac:dyDescent="0.2">
      <c r="A393" s="259" t="s">
        <v>994</v>
      </c>
      <c r="B393" s="252" t="s">
        <v>343</v>
      </c>
      <c r="C393" s="252" t="s">
        <v>196</v>
      </c>
      <c r="D393" s="252" t="s">
        <v>205</v>
      </c>
      <c r="E393" s="252" t="s">
        <v>830</v>
      </c>
      <c r="F393" s="252"/>
      <c r="G393" s="257">
        <v>300</v>
      </c>
      <c r="H393" s="257">
        <v>0</v>
      </c>
      <c r="I393" s="257">
        <v>300</v>
      </c>
      <c r="J393" s="257">
        <f t="shared" ref="J393" si="304">J394+J395</f>
        <v>-140</v>
      </c>
      <c r="K393" s="257">
        <f>L394+L395</f>
        <v>160</v>
      </c>
      <c r="L393" s="257">
        <f>L394+L395</f>
        <v>160</v>
      </c>
      <c r="M393" s="257">
        <f t="shared" ref="M393:N393" si="305">M394+M395</f>
        <v>0</v>
      </c>
      <c r="N393" s="257">
        <f t="shared" si="305"/>
        <v>160</v>
      </c>
      <c r="O393" s="257">
        <f t="shared" ref="O393" si="306">O394+O395</f>
        <v>160</v>
      </c>
    </row>
    <row r="394" spans="1:15" ht="30" customHeight="1" x14ac:dyDescent="0.2">
      <c r="A394" s="259" t="s">
        <v>742</v>
      </c>
      <c r="B394" s="252" t="s">
        <v>343</v>
      </c>
      <c r="C394" s="252" t="s">
        <v>196</v>
      </c>
      <c r="D394" s="252" t="s">
        <v>205</v>
      </c>
      <c r="E394" s="252" t="s">
        <v>829</v>
      </c>
      <c r="F394" s="252" t="s">
        <v>94</v>
      </c>
      <c r="G394" s="257">
        <v>150</v>
      </c>
      <c r="H394" s="257">
        <v>0</v>
      </c>
      <c r="I394" s="257">
        <v>150</v>
      </c>
      <c r="J394" s="257">
        <v>-70</v>
      </c>
      <c r="K394" s="257">
        <f t="shared" ref="K394:K395" si="307">I394+J394</f>
        <v>80</v>
      </c>
      <c r="L394" s="257">
        <v>80</v>
      </c>
      <c r="M394" s="257">
        <v>0</v>
      </c>
      <c r="N394" s="257">
        <f>L394+M394</f>
        <v>80</v>
      </c>
      <c r="O394" s="257">
        <v>80</v>
      </c>
    </row>
    <row r="395" spans="1:15" ht="17.25" customHeight="1" x14ac:dyDescent="0.2">
      <c r="A395" s="259" t="s">
        <v>720</v>
      </c>
      <c r="B395" s="252" t="s">
        <v>343</v>
      </c>
      <c r="C395" s="252" t="s">
        <v>196</v>
      </c>
      <c r="D395" s="252" t="s">
        <v>205</v>
      </c>
      <c r="E395" s="252" t="s">
        <v>828</v>
      </c>
      <c r="F395" s="252" t="s">
        <v>94</v>
      </c>
      <c r="G395" s="257">
        <v>150</v>
      </c>
      <c r="H395" s="257">
        <v>0</v>
      </c>
      <c r="I395" s="257">
        <v>150</v>
      </c>
      <c r="J395" s="257">
        <v>-70</v>
      </c>
      <c r="K395" s="257">
        <f t="shared" si="307"/>
        <v>80</v>
      </c>
      <c r="L395" s="257">
        <v>80</v>
      </c>
      <c r="M395" s="257">
        <v>0</v>
      </c>
      <c r="N395" s="257">
        <f>L395+M395</f>
        <v>80</v>
      </c>
      <c r="O395" s="257">
        <v>80</v>
      </c>
    </row>
    <row r="396" spans="1:15" ht="33" customHeight="1" x14ac:dyDescent="0.2">
      <c r="A396" s="259" t="s">
        <v>995</v>
      </c>
      <c r="B396" s="252" t="s">
        <v>343</v>
      </c>
      <c r="C396" s="252" t="s">
        <v>196</v>
      </c>
      <c r="D396" s="252" t="s">
        <v>205</v>
      </c>
      <c r="E396" s="252" t="s">
        <v>827</v>
      </c>
      <c r="F396" s="252"/>
      <c r="G396" s="257">
        <v>160</v>
      </c>
      <c r="H396" s="257">
        <v>0</v>
      </c>
      <c r="I396" s="257">
        <v>100</v>
      </c>
      <c r="J396" s="257">
        <f t="shared" ref="J396" si="308">J397+J398</f>
        <v>0</v>
      </c>
      <c r="K396" s="257">
        <f>L397+L398</f>
        <v>100</v>
      </c>
      <c r="L396" s="257">
        <f t="shared" ref="L396" si="309">L397+L398</f>
        <v>100</v>
      </c>
      <c r="M396" s="257">
        <f t="shared" ref="M396:N396" si="310">M397+M398</f>
        <v>0</v>
      </c>
      <c r="N396" s="257">
        <f t="shared" si="310"/>
        <v>100</v>
      </c>
      <c r="O396" s="257">
        <f t="shared" ref="O396" si="311">O397+O398</f>
        <v>100</v>
      </c>
    </row>
    <row r="397" spans="1:15" ht="16.5" customHeight="1" x14ac:dyDescent="0.2">
      <c r="A397" s="259" t="s">
        <v>533</v>
      </c>
      <c r="B397" s="252" t="s">
        <v>343</v>
      </c>
      <c r="C397" s="252" t="s">
        <v>196</v>
      </c>
      <c r="D397" s="252" t="s">
        <v>205</v>
      </c>
      <c r="E397" s="252" t="s">
        <v>826</v>
      </c>
      <c r="F397" s="252" t="s">
        <v>94</v>
      </c>
      <c r="G397" s="257">
        <v>80</v>
      </c>
      <c r="H397" s="257">
        <v>0</v>
      </c>
      <c r="I397" s="257">
        <v>50</v>
      </c>
      <c r="J397" s="257">
        <v>0</v>
      </c>
      <c r="K397" s="257">
        <f t="shared" ref="K397:K398" si="312">I397+J397</f>
        <v>50</v>
      </c>
      <c r="L397" s="257">
        <v>50</v>
      </c>
      <c r="M397" s="257">
        <v>0</v>
      </c>
      <c r="N397" s="257">
        <f>L397+M397</f>
        <v>50</v>
      </c>
      <c r="O397" s="257">
        <v>50</v>
      </c>
    </row>
    <row r="398" spans="1:15" ht="18" customHeight="1" x14ac:dyDescent="0.2">
      <c r="A398" s="259" t="s">
        <v>534</v>
      </c>
      <c r="B398" s="252" t="s">
        <v>343</v>
      </c>
      <c r="C398" s="252" t="s">
        <v>196</v>
      </c>
      <c r="D398" s="252" t="s">
        <v>205</v>
      </c>
      <c r="E398" s="252" t="s">
        <v>825</v>
      </c>
      <c r="F398" s="252" t="s">
        <v>94</v>
      </c>
      <c r="G398" s="257">
        <v>80</v>
      </c>
      <c r="H398" s="257">
        <v>0</v>
      </c>
      <c r="I398" s="257">
        <v>50</v>
      </c>
      <c r="J398" s="257">
        <v>0</v>
      </c>
      <c r="K398" s="257">
        <f t="shared" si="312"/>
        <v>50</v>
      </c>
      <c r="L398" s="257">
        <v>50</v>
      </c>
      <c r="M398" s="257">
        <v>0</v>
      </c>
      <c r="N398" s="257">
        <f>L398+M398</f>
        <v>50</v>
      </c>
      <c r="O398" s="257">
        <v>50</v>
      </c>
    </row>
    <row r="399" spans="1:15" ht="37.5" customHeight="1" x14ac:dyDescent="0.2">
      <c r="A399" s="259" t="s">
        <v>1040</v>
      </c>
      <c r="B399" s="252" t="s">
        <v>343</v>
      </c>
      <c r="C399" s="252" t="s">
        <v>196</v>
      </c>
      <c r="D399" s="252" t="s">
        <v>205</v>
      </c>
      <c r="E399" s="252" t="s">
        <v>1285</v>
      </c>
      <c r="F399" s="252"/>
      <c r="G399" s="257">
        <v>46.9</v>
      </c>
      <c r="H399" s="257">
        <v>-2.8</v>
      </c>
      <c r="I399" s="257">
        <v>44.099999999999994</v>
      </c>
      <c r="J399" s="257">
        <f t="shared" ref="J399" si="313">J400+J401</f>
        <v>5.0999999999999996</v>
      </c>
      <c r="K399" s="257">
        <f>L400+L401</f>
        <v>57</v>
      </c>
      <c r="L399" s="257">
        <f>L400+L401+L402+L403+L404</f>
        <v>57</v>
      </c>
      <c r="M399" s="257">
        <f t="shared" ref="M399:O399" si="314">M400+M401+M402+M403+M404</f>
        <v>10.399999999999999</v>
      </c>
      <c r="N399" s="257">
        <f t="shared" si="314"/>
        <v>67.400000000000006</v>
      </c>
      <c r="O399" s="257">
        <f t="shared" si="314"/>
        <v>67.400000000000006</v>
      </c>
    </row>
    <row r="400" spans="1:15" ht="18" customHeight="1" x14ac:dyDescent="0.2">
      <c r="A400" s="259" t="s">
        <v>907</v>
      </c>
      <c r="B400" s="252" t="s">
        <v>343</v>
      </c>
      <c r="C400" s="252" t="s">
        <v>196</v>
      </c>
      <c r="D400" s="252" t="s">
        <v>205</v>
      </c>
      <c r="E400" s="252" t="s">
        <v>834</v>
      </c>
      <c r="F400" s="252" t="s">
        <v>96</v>
      </c>
      <c r="G400" s="257">
        <v>36</v>
      </c>
      <c r="H400" s="257">
        <v>-2.13</v>
      </c>
      <c r="I400" s="257">
        <v>33.869999999999997</v>
      </c>
      <c r="J400" s="257">
        <v>3.93</v>
      </c>
      <c r="K400" s="257">
        <f t="shared" ref="K400:K401" si="315">I400+J400</f>
        <v>37.799999999999997</v>
      </c>
      <c r="L400" s="257">
        <v>43.78</v>
      </c>
      <c r="M400" s="257">
        <v>-43.78</v>
      </c>
      <c r="N400" s="257">
        <f>L400+M400</f>
        <v>0</v>
      </c>
      <c r="O400" s="257">
        <v>0</v>
      </c>
    </row>
    <row r="401" spans="1:15" ht="34.5" customHeight="1" x14ac:dyDescent="0.2">
      <c r="A401" s="375" t="s">
        <v>898</v>
      </c>
      <c r="B401" s="252" t="s">
        <v>343</v>
      </c>
      <c r="C401" s="252" t="s">
        <v>196</v>
      </c>
      <c r="D401" s="252" t="s">
        <v>205</v>
      </c>
      <c r="E401" s="252" t="s">
        <v>834</v>
      </c>
      <c r="F401" s="252" t="s">
        <v>896</v>
      </c>
      <c r="G401" s="257">
        <v>10.9</v>
      </c>
      <c r="H401" s="257">
        <v>-0.67</v>
      </c>
      <c r="I401" s="257">
        <v>10.23</v>
      </c>
      <c r="J401" s="257">
        <v>1.17</v>
      </c>
      <c r="K401" s="257">
        <f t="shared" si="315"/>
        <v>11.4</v>
      </c>
      <c r="L401" s="257">
        <v>13.22</v>
      </c>
      <c r="M401" s="257">
        <v>-13.22</v>
      </c>
      <c r="N401" s="257">
        <f>L401+M401</f>
        <v>0</v>
      </c>
      <c r="O401" s="257">
        <v>0</v>
      </c>
    </row>
    <row r="402" spans="1:15" s="430" customFormat="1" ht="19.5" customHeight="1" x14ac:dyDescent="0.2">
      <c r="A402" s="259" t="s">
        <v>907</v>
      </c>
      <c r="B402" s="252" t="s">
        <v>343</v>
      </c>
      <c r="C402" s="252" t="s">
        <v>196</v>
      </c>
      <c r="D402" s="252" t="s">
        <v>205</v>
      </c>
      <c r="E402" s="252" t="s">
        <v>1285</v>
      </c>
      <c r="F402" s="252" t="s">
        <v>96</v>
      </c>
      <c r="G402" s="275">
        <v>200</v>
      </c>
      <c r="H402" s="275">
        <v>0</v>
      </c>
      <c r="I402" s="275">
        <v>200</v>
      </c>
      <c r="J402" s="275" t="e">
        <f t="shared" ref="J402:J403" si="316">J403</f>
        <v>#REF!</v>
      </c>
      <c r="K402" s="275">
        <f>L403</f>
        <v>0</v>
      </c>
      <c r="L402" s="257">
        <v>0</v>
      </c>
      <c r="M402" s="257">
        <v>50.69</v>
      </c>
      <c r="N402" s="257">
        <f t="shared" ref="N402:N404" si="317">L402+M402</f>
        <v>50.69</v>
      </c>
      <c r="O402" s="257">
        <v>50.69</v>
      </c>
    </row>
    <row r="403" spans="1:15" s="430" customFormat="1" ht="33" customHeight="1" x14ac:dyDescent="0.2">
      <c r="A403" s="375" t="s">
        <v>898</v>
      </c>
      <c r="B403" s="252" t="s">
        <v>343</v>
      </c>
      <c r="C403" s="252" t="s">
        <v>196</v>
      </c>
      <c r="D403" s="252" t="s">
        <v>205</v>
      </c>
      <c r="E403" s="252" t="s">
        <v>1285</v>
      </c>
      <c r="F403" s="252" t="s">
        <v>896</v>
      </c>
      <c r="G403" s="275">
        <v>200</v>
      </c>
      <c r="H403" s="275">
        <v>0</v>
      </c>
      <c r="I403" s="275">
        <v>200</v>
      </c>
      <c r="J403" s="275" t="e">
        <f t="shared" si="316"/>
        <v>#REF!</v>
      </c>
      <c r="K403" s="275">
        <f>L404</f>
        <v>0</v>
      </c>
      <c r="L403" s="257">
        <v>0</v>
      </c>
      <c r="M403" s="257">
        <v>15.31</v>
      </c>
      <c r="N403" s="257">
        <f t="shared" si="317"/>
        <v>15.31</v>
      </c>
      <c r="O403" s="257">
        <v>15.31</v>
      </c>
    </row>
    <row r="404" spans="1:15" ht="19.5" customHeight="1" x14ac:dyDescent="0.2">
      <c r="A404" s="259" t="s">
        <v>93</v>
      </c>
      <c r="B404" s="252" t="s">
        <v>343</v>
      </c>
      <c r="C404" s="252" t="s">
        <v>196</v>
      </c>
      <c r="D404" s="252" t="s">
        <v>205</v>
      </c>
      <c r="E404" s="252" t="s">
        <v>1285</v>
      </c>
      <c r="F404" s="252" t="s">
        <v>94</v>
      </c>
      <c r="G404" s="257">
        <v>200</v>
      </c>
      <c r="H404" s="257">
        <v>0</v>
      </c>
      <c r="I404" s="257">
        <v>200</v>
      </c>
      <c r="J404" s="257" t="e">
        <f>#REF!</f>
        <v>#REF!</v>
      </c>
      <c r="K404" s="257" t="e">
        <f>#REF!</f>
        <v>#REF!</v>
      </c>
      <c r="L404" s="257">
        <v>0</v>
      </c>
      <c r="M404" s="257">
        <v>1.4</v>
      </c>
      <c r="N404" s="257">
        <f t="shared" si="317"/>
        <v>1.4</v>
      </c>
      <c r="O404" s="257">
        <v>1.4</v>
      </c>
    </row>
    <row r="405" spans="1:15" s="430" customFormat="1" ht="14.25" x14ac:dyDescent="0.2">
      <c r="A405" s="462" t="s">
        <v>70</v>
      </c>
      <c r="B405" s="250" t="s">
        <v>343</v>
      </c>
      <c r="C405" s="250"/>
      <c r="D405" s="250"/>
      <c r="E405" s="250"/>
      <c r="F405" s="250"/>
      <c r="G405" s="275">
        <v>33602.1</v>
      </c>
      <c r="H405" s="275">
        <v>15117.967186999997</v>
      </c>
      <c r="I405" s="275">
        <v>29599</v>
      </c>
      <c r="J405" s="275" t="e">
        <f t="shared" ref="J405" si="318">J406+J417+J421</f>
        <v>#REF!</v>
      </c>
      <c r="K405" s="275">
        <f>L406+L417+L421</f>
        <v>31605.5</v>
      </c>
      <c r="L405" s="275">
        <f t="shared" ref="L405" si="319">L406+L417+L421</f>
        <v>31605.5</v>
      </c>
      <c r="M405" s="275">
        <f t="shared" ref="M405:N405" si="320">M406+M417+M421</f>
        <v>-113.40000000000055</v>
      </c>
      <c r="N405" s="275">
        <f t="shared" si="320"/>
        <v>31492.100000000002</v>
      </c>
      <c r="O405" s="275">
        <f t="shared" ref="O405" si="321">O406+O417+O421</f>
        <v>31492.100000000002</v>
      </c>
    </row>
    <row r="406" spans="1:15" s="430" customFormat="1" hidden="1" x14ac:dyDescent="0.2">
      <c r="A406" s="462" t="s">
        <v>201</v>
      </c>
      <c r="B406" s="252" t="s">
        <v>343</v>
      </c>
      <c r="C406" s="249" t="s">
        <v>312</v>
      </c>
      <c r="D406" s="250" t="s">
        <v>202</v>
      </c>
      <c r="E406" s="365"/>
      <c r="F406" s="250"/>
      <c r="G406" s="275">
        <v>0</v>
      </c>
      <c r="H406" s="275">
        <v>387.3</v>
      </c>
      <c r="I406" s="275">
        <v>0</v>
      </c>
      <c r="J406" s="275">
        <f t="shared" ref="J406:O406" si="322">J407</f>
        <v>0</v>
      </c>
      <c r="K406" s="275">
        <f>L407</f>
        <v>0</v>
      </c>
      <c r="L406" s="275">
        <f t="shared" si="322"/>
        <v>0</v>
      </c>
      <c r="M406" s="275">
        <f t="shared" si="322"/>
        <v>0</v>
      </c>
      <c r="N406" s="275">
        <f t="shared" si="322"/>
        <v>0</v>
      </c>
      <c r="O406" s="275">
        <f t="shared" si="322"/>
        <v>0</v>
      </c>
    </row>
    <row r="407" spans="1:15" s="430" customFormat="1" ht="22.5" hidden="1" customHeight="1" x14ac:dyDescent="0.2">
      <c r="A407" s="259" t="s">
        <v>452</v>
      </c>
      <c r="B407" s="252" t="s">
        <v>343</v>
      </c>
      <c r="C407" s="271" t="s">
        <v>312</v>
      </c>
      <c r="D407" s="252" t="s">
        <v>202</v>
      </c>
      <c r="E407" s="260" t="s">
        <v>867</v>
      </c>
      <c r="F407" s="252"/>
      <c r="G407" s="257">
        <v>0</v>
      </c>
      <c r="H407" s="257">
        <v>387.3</v>
      </c>
      <c r="I407" s="257">
        <v>0</v>
      </c>
      <c r="J407" s="257">
        <f t="shared" ref="J407:O407" si="323">J408</f>
        <v>0</v>
      </c>
      <c r="K407" s="257">
        <f>L408</f>
        <v>0</v>
      </c>
      <c r="L407" s="257">
        <f t="shared" si="323"/>
        <v>0</v>
      </c>
      <c r="M407" s="257">
        <f t="shared" si="323"/>
        <v>0</v>
      </c>
      <c r="N407" s="257">
        <f t="shared" si="323"/>
        <v>0</v>
      </c>
      <c r="O407" s="257">
        <f t="shared" si="323"/>
        <v>0</v>
      </c>
    </row>
    <row r="408" spans="1:15" s="430" customFormat="1" hidden="1" x14ac:dyDescent="0.2">
      <c r="A408" s="367" t="s">
        <v>768</v>
      </c>
      <c r="B408" s="252" t="s">
        <v>343</v>
      </c>
      <c r="C408" s="271" t="s">
        <v>312</v>
      </c>
      <c r="D408" s="252" t="s">
        <v>202</v>
      </c>
      <c r="E408" s="260" t="s">
        <v>867</v>
      </c>
      <c r="F408" s="252" t="s">
        <v>769</v>
      </c>
      <c r="G408" s="257">
        <v>0</v>
      </c>
      <c r="H408" s="257">
        <v>387.3</v>
      </c>
      <c r="I408" s="257">
        <v>0</v>
      </c>
      <c r="J408" s="257">
        <v>0</v>
      </c>
      <c r="K408" s="257">
        <f>I408+J408</f>
        <v>0</v>
      </c>
      <c r="L408" s="257">
        <v>0</v>
      </c>
      <c r="M408" s="257">
        <v>0</v>
      </c>
      <c r="N408" s="257">
        <f>L408+M408</f>
        <v>0</v>
      </c>
      <c r="O408" s="257">
        <v>0</v>
      </c>
    </row>
    <row r="409" spans="1:15" s="430" customFormat="1" ht="14.25" hidden="1" x14ac:dyDescent="0.2">
      <c r="A409" s="462" t="s">
        <v>364</v>
      </c>
      <c r="B409" s="250" t="s">
        <v>343</v>
      </c>
      <c r="C409" s="250" t="s">
        <v>192</v>
      </c>
      <c r="D409" s="250"/>
      <c r="E409" s="250"/>
      <c r="F409" s="250"/>
      <c r="G409" s="275">
        <v>0</v>
      </c>
      <c r="H409" s="275">
        <v>0</v>
      </c>
      <c r="I409" s="275">
        <v>0</v>
      </c>
      <c r="J409" s="275">
        <f t="shared" ref="J409:M409" si="324">J410</f>
        <v>1</v>
      </c>
      <c r="K409" s="275">
        <f>L410</f>
        <v>2</v>
      </c>
      <c r="L409" s="275">
        <f t="shared" ref="L409:O411" si="325">L410</f>
        <v>2</v>
      </c>
      <c r="M409" s="275">
        <f t="shared" si="324"/>
        <v>1</v>
      </c>
      <c r="N409" s="275">
        <f t="shared" si="325"/>
        <v>3</v>
      </c>
      <c r="O409" s="275">
        <f t="shared" si="325"/>
        <v>4</v>
      </c>
    </row>
    <row r="410" spans="1:15" s="430" customFormat="1" ht="18" hidden="1" customHeight="1" x14ac:dyDescent="0.2">
      <c r="A410" s="462" t="s">
        <v>365</v>
      </c>
      <c r="B410" s="250" t="s">
        <v>343</v>
      </c>
      <c r="C410" s="250" t="s">
        <v>192</v>
      </c>
      <c r="D410" s="250" t="s">
        <v>194</v>
      </c>
      <c r="E410" s="252"/>
      <c r="F410" s="252"/>
      <c r="G410" s="257">
        <v>0</v>
      </c>
      <c r="H410" s="257">
        <v>0</v>
      </c>
      <c r="I410" s="257">
        <v>0</v>
      </c>
      <c r="J410" s="257">
        <f t="shared" ref="J410:J411" si="326">J411</f>
        <v>1</v>
      </c>
      <c r="K410" s="257">
        <f>L411</f>
        <v>2</v>
      </c>
      <c r="L410" s="257">
        <f t="shared" si="325"/>
        <v>2</v>
      </c>
      <c r="M410" s="257">
        <f t="shared" si="325"/>
        <v>1</v>
      </c>
      <c r="N410" s="257">
        <f t="shared" si="325"/>
        <v>3</v>
      </c>
      <c r="O410" s="257">
        <f t="shared" si="325"/>
        <v>4</v>
      </c>
    </row>
    <row r="411" spans="1:15" hidden="1" x14ac:dyDescent="0.2">
      <c r="A411" s="259" t="s">
        <v>366</v>
      </c>
      <c r="B411" s="252" t="s">
        <v>343</v>
      </c>
      <c r="C411" s="252" t="s">
        <v>192</v>
      </c>
      <c r="D411" s="252" t="s">
        <v>194</v>
      </c>
      <c r="E411" s="252" t="s">
        <v>757</v>
      </c>
      <c r="F411" s="252"/>
      <c r="G411" s="257">
        <v>0</v>
      </c>
      <c r="H411" s="257">
        <v>0</v>
      </c>
      <c r="I411" s="257">
        <v>0</v>
      </c>
      <c r="J411" s="257">
        <f t="shared" si="326"/>
        <v>1</v>
      </c>
      <c r="K411" s="257">
        <f>L412</f>
        <v>2</v>
      </c>
      <c r="L411" s="257">
        <f t="shared" si="325"/>
        <v>2</v>
      </c>
      <c r="M411" s="257">
        <f t="shared" si="325"/>
        <v>1</v>
      </c>
      <c r="N411" s="257">
        <f t="shared" si="325"/>
        <v>3</v>
      </c>
      <c r="O411" s="257">
        <f t="shared" si="325"/>
        <v>4</v>
      </c>
    </row>
    <row r="412" spans="1:15" hidden="1" x14ac:dyDescent="0.2">
      <c r="A412" s="259" t="s">
        <v>268</v>
      </c>
      <c r="B412" s="252" t="s">
        <v>343</v>
      </c>
      <c r="C412" s="252" t="s">
        <v>192</v>
      </c>
      <c r="D412" s="252" t="s">
        <v>194</v>
      </c>
      <c r="E412" s="252" t="s">
        <v>757</v>
      </c>
      <c r="F412" s="252" t="s">
        <v>155</v>
      </c>
      <c r="G412" s="257">
        <v>0</v>
      </c>
      <c r="H412" s="257">
        <v>0</v>
      </c>
      <c r="I412" s="257">
        <v>0</v>
      </c>
      <c r="J412" s="257">
        <v>1</v>
      </c>
      <c r="K412" s="257">
        <f t="shared" ref="K412:L416" si="327">I412+J412</f>
        <v>1</v>
      </c>
      <c r="L412" s="257">
        <f t="shared" si="327"/>
        <v>2</v>
      </c>
      <c r="M412" s="257">
        <v>1</v>
      </c>
      <c r="N412" s="257">
        <f>L412+M412</f>
        <v>3</v>
      </c>
      <c r="O412" s="257">
        <f t="shared" ref="O412:O416" si="328">M412+N412</f>
        <v>4</v>
      </c>
    </row>
    <row r="413" spans="1:15" hidden="1" x14ac:dyDescent="0.2">
      <c r="A413" s="462" t="s">
        <v>236</v>
      </c>
      <c r="B413" s="250" t="s">
        <v>343</v>
      </c>
      <c r="C413" s="250" t="s">
        <v>194</v>
      </c>
      <c r="D413" s="250"/>
      <c r="E413" s="252"/>
      <c r="F413" s="252"/>
      <c r="G413" s="257">
        <v>18</v>
      </c>
      <c r="H413" s="257">
        <v>29</v>
      </c>
      <c r="I413" s="257">
        <v>47</v>
      </c>
      <c r="J413" s="257">
        <f t="shared" ref="J413:J416" si="329">H413+I413</f>
        <v>76</v>
      </c>
      <c r="K413" s="257">
        <f t="shared" si="327"/>
        <v>123</v>
      </c>
      <c r="L413" s="257">
        <f t="shared" si="327"/>
        <v>199</v>
      </c>
      <c r="M413" s="257">
        <f>L413+L413</f>
        <v>398</v>
      </c>
      <c r="N413" s="257">
        <f>L413+M413</f>
        <v>597</v>
      </c>
      <c r="O413" s="257">
        <f t="shared" si="328"/>
        <v>995</v>
      </c>
    </row>
    <row r="414" spans="1:15" ht="32.25" hidden="1" customHeight="1" x14ac:dyDescent="0.2">
      <c r="A414" s="462" t="s">
        <v>255</v>
      </c>
      <c r="B414" s="252" t="s">
        <v>343</v>
      </c>
      <c r="C414" s="252" t="s">
        <v>194</v>
      </c>
      <c r="D414" s="252" t="s">
        <v>212</v>
      </c>
      <c r="E414" s="252"/>
      <c r="F414" s="252"/>
      <c r="G414" s="257">
        <v>18</v>
      </c>
      <c r="H414" s="257">
        <v>29</v>
      </c>
      <c r="I414" s="257">
        <v>47</v>
      </c>
      <c r="J414" s="257">
        <f t="shared" si="329"/>
        <v>76</v>
      </c>
      <c r="K414" s="257">
        <f t="shared" si="327"/>
        <v>123</v>
      </c>
      <c r="L414" s="257">
        <f t="shared" si="327"/>
        <v>199</v>
      </c>
      <c r="M414" s="257">
        <f>L414+L414</f>
        <v>398</v>
      </c>
      <c r="N414" s="257">
        <f>L414+M414</f>
        <v>597</v>
      </c>
      <c r="O414" s="257">
        <f t="shared" si="328"/>
        <v>995</v>
      </c>
    </row>
    <row r="415" spans="1:15" ht="27.75" hidden="1" customHeight="1" x14ac:dyDescent="0.2">
      <c r="A415" s="259" t="s">
        <v>466</v>
      </c>
      <c r="B415" s="252" t="s">
        <v>343</v>
      </c>
      <c r="C415" s="252" t="s">
        <v>194</v>
      </c>
      <c r="D415" s="252" t="s">
        <v>212</v>
      </c>
      <c r="E415" s="252" t="s">
        <v>874</v>
      </c>
      <c r="F415" s="252"/>
      <c r="G415" s="257">
        <v>18</v>
      </c>
      <c r="H415" s="257">
        <v>29</v>
      </c>
      <c r="I415" s="257">
        <v>47</v>
      </c>
      <c r="J415" s="257">
        <f t="shared" si="329"/>
        <v>76</v>
      </c>
      <c r="K415" s="257">
        <f t="shared" si="327"/>
        <v>123</v>
      </c>
      <c r="L415" s="257">
        <f t="shared" si="327"/>
        <v>199</v>
      </c>
      <c r="M415" s="257">
        <f>L415+L415</f>
        <v>398</v>
      </c>
      <c r="N415" s="257">
        <f>L415+M415</f>
        <v>597</v>
      </c>
      <c r="O415" s="257">
        <f t="shared" si="328"/>
        <v>995</v>
      </c>
    </row>
    <row r="416" spans="1:15" hidden="1" x14ac:dyDescent="0.2">
      <c r="A416" s="367" t="s">
        <v>768</v>
      </c>
      <c r="B416" s="252" t="s">
        <v>343</v>
      </c>
      <c r="C416" s="252" t="s">
        <v>194</v>
      </c>
      <c r="D416" s="252" t="s">
        <v>212</v>
      </c>
      <c r="E416" s="252" t="s">
        <v>874</v>
      </c>
      <c r="F416" s="252" t="s">
        <v>769</v>
      </c>
      <c r="G416" s="257">
        <v>18</v>
      </c>
      <c r="H416" s="257">
        <v>29</v>
      </c>
      <c r="I416" s="257">
        <v>47</v>
      </c>
      <c r="J416" s="257">
        <f t="shared" si="329"/>
        <v>76</v>
      </c>
      <c r="K416" s="257">
        <f t="shared" si="327"/>
        <v>123</v>
      </c>
      <c r="L416" s="257">
        <f t="shared" si="327"/>
        <v>199</v>
      </c>
      <c r="M416" s="257">
        <f>L416+L416</f>
        <v>398</v>
      </c>
      <c r="N416" s="257">
        <f>L416+M416</f>
        <v>597</v>
      </c>
      <c r="O416" s="257">
        <f t="shared" si="328"/>
        <v>995</v>
      </c>
    </row>
    <row r="417" spans="1:15" hidden="1" x14ac:dyDescent="0.2">
      <c r="A417" s="462" t="s">
        <v>374</v>
      </c>
      <c r="B417" s="250" t="s">
        <v>343</v>
      </c>
      <c r="C417" s="250" t="s">
        <v>196</v>
      </c>
      <c r="D417" s="250"/>
      <c r="E417" s="250"/>
      <c r="F417" s="250"/>
      <c r="G417" s="257">
        <v>0</v>
      </c>
      <c r="H417" s="257">
        <v>8631.7671869999976</v>
      </c>
      <c r="I417" s="257">
        <v>0</v>
      </c>
      <c r="J417" s="257">
        <f t="shared" ref="J417:O418" si="330">J418</f>
        <v>0</v>
      </c>
      <c r="K417" s="257">
        <f>L418</f>
        <v>0</v>
      </c>
      <c r="L417" s="257">
        <f t="shared" si="330"/>
        <v>0</v>
      </c>
      <c r="M417" s="257">
        <f t="shared" si="330"/>
        <v>0</v>
      </c>
      <c r="N417" s="257">
        <f t="shared" si="330"/>
        <v>0</v>
      </c>
      <c r="O417" s="257">
        <f t="shared" si="330"/>
        <v>0</v>
      </c>
    </row>
    <row r="418" spans="1:15" ht="13.5" hidden="1" customHeight="1" x14ac:dyDescent="0.2">
      <c r="A418" s="259" t="s">
        <v>722</v>
      </c>
      <c r="B418" s="252" t="s">
        <v>343</v>
      </c>
      <c r="C418" s="252" t="s">
        <v>196</v>
      </c>
      <c r="D418" s="252" t="s">
        <v>212</v>
      </c>
      <c r="E418" s="252" t="s">
        <v>849</v>
      </c>
      <c r="F418" s="252"/>
      <c r="G418" s="257">
        <v>0</v>
      </c>
      <c r="H418" s="257">
        <v>8631.7671869999976</v>
      </c>
      <c r="I418" s="257">
        <v>0</v>
      </c>
      <c r="J418" s="257">
        <f t="shared" si="330"/>
        <v>0</v>
      </c>
      <c r="K418" s="257">
        <f>L419</f>
        <v>0</v>
      </c>
      <c r="L418" s="257">
        <f t="shared" si="330"/>
        <v>0</v>
      </c>
      <c r="M418" s="257">
        <f t="shared" si="330"/>
        <v>0</v>
      </c>
      <c r="N418" s="257">
        <f t="shared" si="330"/>
        <v>0</v>
      </c>
      <c r="O418" s="257">
        <f t="shared" si="330"/>
        <v>0</v>
      </c>
    </row>
    <row r="419" spans="1:15" hidden="1" x14ac:dyDescent="0.2">
      <c r="A419" s="367" t="s">
        <v>768</v>
      </c>
      <c r="B419" s="252" t="s">
        <v>343</v>
      </c>
      <c r="C419" s="252" t="s">
        <v>196</v>
      </c>
      <c r="D419" s="252" t="s">
        <v>212</v>
      </c>
      <c r="E419" s="252" t="s">
        <v>849</v>
      </c>
      <c r="F419" s="252" t="s">
        <v>769</v>
      </c>
      <c r="G419" s="257">
        <v>0</v>
      </c>
      <c r="H419" s="257">
        <v>8631.7671869999976</v>
      </c>
      <c r="I419" s="257">
        <v>0</v>
      </c>
      <c r="J419" s="257">
        <v>0</v>
      </c>
      <c r="K419" s="257">
        <f t="shared" ref="K419" si="331">I419+J419</f>
        <v>0</v>
      </c>
      <c r="L419" s="257">
        <v>0</v>
      </c>
      <c r="M419" s="257">
        <v>0</v>
      </c>
      <c r="N419" s="257">
        <f>L419+M419</f>
        <v>0</v>
      </c>
      <c r="O419" s="257">
        <v>0</v>
      </c>
    </row>
    <row r="420" spans="1:15" s="430" customFormat="1" ht="14.25" hidden="1" x14ac:dyDescent="0.2">
      <c r="A420" s="462" t="s">
        <v>367</v>
      </c>
      <c r="B420" s="250" t="s">
        <v>343</v>
      </c>
      <c r="C420" s="250" t="s">
        <v>198</v>
      </c>
      <c r="D420" s="250"/>
      <c r="E420" s="250"/>
      <c r="F420" s="250"/>
      <c r="G420" s="275" t="e">
        <v>#REF!</v>
      </c>
      <c r="H420" s="275" t="e">
        <v>#REF!</v>
      </c>
      <c r="I420" s="275" t="e">
        <v>#REF!</v>
      </c>
      <c r="J420" s="275" t="e">
        <f>#REF!+#REF!</f>
        <v>#REF!</v>
      </c>
      <c r="K420" s="275" t="e">
        <f>#REF!+#REF!</f>
        <v>#REF!</v>
      </c>
      <c r="L420" s="275" t="e">
        <f>#REF!+#REF!</f>
        <v>#REF!</v>
      </c>
      <c r="M420" s="275" t="e">
        <f>#REF!+#REF!</f>
        <v>#REF!</v>
      </c>
      <c r="N420" s="275" t="e">
        <f>#REF!+#REF!</f>
        <v>#REF!</v>
      </c>
      <c r="O420" s="275" t="e">
        <f>#REF!+#REF!</f>
        <v>#REF!</v>
      </c>
    </row>
    <row r="421" spans="1:15" s="430" customFormat="1" ht="30.75" customHeight="1" x14ac:dyDescent="0.2">
      <c r="A421" s="462" t="s">
        <v>168</v>
      </c>
      <c r="B421" s="250" t="s">
        <v>343</v>
      </c>
      <c r="C421" s="250" t="s">
        <v>208</v>
      </c>
      <c r="D421" s="250"/>
      <c r="E421" s="250"/>
      <c r="F421" s="250"/>
      <c r="G421" s="275">
        <v>33602.1</v>
      </c>
      <c r="H421" s="275">
        <v>6098.9</v>
      </c>
      <c r="I421" s="275">
        <v>29599</v>
      </c>
      <c r="J421" s="275" t="e">
        <f>J422+J426</f>
        <v>#REF!</v>
      </c>
      <c r="K421" s="275">
        <f>L422+L426</f>
        <v>31605.5</v>
      </c>
      <c r="L421" s="275">
        <f>L422+L426</f>
        <v>31605.5</v>
      </c>
      <c r="M421" s="275">
        <f>M422+M426</f>
        <v>-113.40000000000055</v>
      </c>
      <c r="N421" s="275">
        <f>N422+N426</f>
        <v>31492.100000000002</v>
      </c>
      <c r="O421" s="275">
        <f>O422+O426</f>
        <v>31492.100000000002</v>
      </c>
    </row>
    <row r="422" spans="1:15" ht="28.5" customHeight="1" x14ac:dyDescent="0.2">
      <c r="A422" s="259" t="s">
        <v>980</v>
      </c>
      <c r="B422" s="250" t="s">
        <v>343</v>
      </c>
      <c r="C422" s="250" t="s">
        <v>208</v>
      </c>
      <c r="D422" s="250" t="s">
        <v>190</v>
      </c>
      <c r="E422" s="252" t="s">
        <v>765</v>
      </c>
      <c r="F422" s="252"/>
      <c r="G422" s="257">
        <v>25250.1</v>
      </c>
      <c r="H422" s="257">
        <v>4348.8999999999996</v>
      </c>
      <c r="I422" s="257">
        <v>29599</v>
      </c>
      <c r="J422" s="257" t="e">
        <f>J423+#REF!</f>
        <v>#REF!</v>
      </c>
      <c r="K422" s="257" t="e">
        <f>L423+#REF!</f>
        <v>#REF!</v>
      </c>
      <c r="L422" s="257">
        <f>L423+L424+L425</f>
        <v>31605.5</v>
      </c>
      <c r="M422" s="257">
        <f t="shared" ref="M422:O422" si="332">M423+M424+M425</f>
        <v>-113.40000000000055</v>
      </c>
      <c r="N422" s="257">
        <f t="shared" si="332"/>
        <v>31492.100000000002</v>
      </c>
      <c r="O422" s="257">
        <f t="shared" si="332"/>
        <v>31492.100000000002</v>
      </c>
    </row>
    <row r="423" spans="1:15" ht="35.25" customHeight="1" x14ac:dyDescent="0.2">
      <c r="A423" s="259" t="s">
        <v>710</v>
      </c>
      <c r="B423" s="252" t="s">
        <v>343</v>
      </c>
      <c r="C423" s="252" t="s">
        <v>208</v>
      </c>
      <c r="D423" s="252" t="s">
        <v>190</v>
      </c>
      <c r="E423" s="252" t="s">
        <v>765</v>
      </c>
      <c r="F423" s="252" t="s">
        <v>170</v>
      </c>
      <c r="G423" s="257">
        <v>20476</v>
      </c>
      <c r="H423" s="257">
        <v>4310.3999999999996</v>
      </c>
      <c r="I423" s="257">
        <v>24786.400000000001</v>
      </c>
      <c r="J423" s="257">
        <v>1878</v>
      </c>
      <c r="K423" s="257">
        <f t="shared" ref="K423" si="333">I423+J423</f>
        <v>26664.400000000001</v>
      </c>
      <c r="L423" s="257">
        <v>26664.400000000001</v>
      </c>
      <c r="M423" s="257">
        <v>0</v>
      </c>
      <c r="N423" s="257">
        <f>L423+M423</f>
        <v>26664.400000000001</v>
      </c>
      <c r="O423" s="257">
        <v>26664.400000000001</v>
      </c>
    </row>
    <row r="424" spans="1:15" ht="48" customHeight="1" x14ac:dyDescent="0.2">
      <c r="A424" s="259" t="s">
        <v>763</v>
      </c>
      <c r="B424" s="252" t="s">
        <v>343</v>
      </c>
      <c r="C424" s="252" t="s">
        <v>208</v>
      </c>
      <c r="D424" s="252" t="s">
        <v>190</v>
      </c>
      <c r="E424" s="252" t="s">
        <v>946</v>
      </c>
      <c r="F424" s="252" t="s">
        <v>170</v>
      </c>
      <c r="G424" s="257">
        <v>0</v>
      </c>
      <c r="H424" s="257">
        <v>0</v>
      </c>
      <c r="I424" s="257">
        <v>0</v>
      </c>
      <c r="J424" s="257">
        <f t="shared" ref="J424:L433" si="334">H424+I424</f>
        <v>0</v>
      </c>
      <c r="K424" s="257">
        <f t="shared" si="334"/>
        <v>0</v>
      </c>
      <c r="L424" s="257">
        <v>4941.1000000000004</v>
      </c>
      <c r="M424" s="257">
        <v>-4941.1000000000004</v>
      </c>
      <c r="N424" s="257">
        <f>L424+M424</f>
        <v>0</v>
      </c>
      <c r="O424" s="257">
        <v>0</v>
      </c>
    </row>
    <row r="425" spans="1:15" ht="48" customHeight="1" x14ac:dyDescent="0.2">
      <c r="A425" s="367" t="s">
        <v>763</v>
      </c>
      <c r="B425" s="252" t="s">
        <v>343</v>
      </c>
      <c r="C425" s="252" t="s">
        <v>208</v>
      </c>
      <c r="D425" s="252" t="s">
        <v>190</v>
      </c>
      <c r="E425" s="252" t="s">
        <v>1271</v>
      </c>
      <c r="F425" s="252" t="s">
        <v>170</v>
      </c>
      <c r="G425" s="257"/>
      <c r="H425" s="257"/>
      <c r="I425" s="257"/>
      <c r="J425" s="257"/>
      <c r="K425" s="257"/>
      <c r="L425" s="257">
        <v>0</v>
      </c>
      <c r="M425" s="257">
        <v>4827.7</v>
      </c>
      <c r="N425" s="257">
        <f>L425+M425</f>
        <v>4827.7</v>
      </c>
      <c r="O425" s="257">
        <v>4827.7</v>
      </c>
    </row>
    <row r="426" spans="1:15" ht="14.25" hidden="1" x14ac:dyDescent="0.2">
      <c r="A426" s="268" t="s">
        <v>288</v>
      </c>
      <c r="B426" s="250" t="s">
        <v>343</v>
      </c>
      <c r="C426" s="250" t="s">
        <v>208</v>
      </c>
      <c r="D426" s="250" t="s">
        <v>194</v>
      </c>
      <c r="E426" s="250"/>
      <c r="F426" s="250"/>
      <c r="G426" s="275">
        <v>8352</v>
      </c>
      <c r="H426" s="275">
        <v>1750</v>
      </c>
      <c r="I426" s="275">
        <v>0</v>
      </c>
      <c r="J426" s="275">
        <f>J427+J430+J432+J434</f>
        <v>0</v>
      </c>
      <c r="K426" s="275">
        <f>L427+L430+L432+L434</f>
        <v>0</v>
      </c>
      <c r="L426" s="275">
        <f t="shared" ref="L426" si="335">L427+L430+L432+L434</f>
        <v>0</v>
      </c>
      <c r="M426" s="275">
        <f>M427+M430+M432+M434</f>
        <v>0</v>
      </c>
      <c r="N426" s="275">
        <f t="shared" ref="N426:O426" si="336">N427+N430+N432+N434</f>
        <v>0</v>
      </c>
      <c r="O426" s="275">
        <f t="shared" si="336"/>
        <v>0</v>
      </c>
    </row>
    <row r="427" spans="1:15" ht="38.25" hidden="1" customHeight="1" x14ac:dyDescent="0.2">
      <c r="A427" s="367" t="s">
        <v>1042</v>
      </c>
      <c r="B427" s="252" t="s">
        <v>343</v>
      </c>
      <c r="C427" s="272" t="s">
        <v>208</v>
      </c>
      <c r="D427" s="272" t="s">
        <v>194</v>
      </c>
      <c r="E427" s="272" t="s">
        <v>855</v>
      </c>
      <c r="F427" s="272"/>
      <c r="G427" s="257">
        <v>0</v>
      </c>
      <c r="H427" s="257">
        <v>220</v>
      </c>
      <c r="I427" s="257">
        <v>0</v>
      </c>
      <c r="J427" s="257">
        <f t="shared" ref="J427" si="337">J428+J429</f>
        <v>0</v>
      </c>
      <c r="K427" s="257">
        <f>L428+L429</f>
        <v>0</v>
      </c>
      <c r="L427" s="257">
        <f t="shared" ref="L427" si="338">L428+L429</f>
        <v>0</v>
      </c>
      <c r="M427" s="257">
        <f t="shared" ref="M427:N427" si="339">M428+M429</f>
        <v>0</v>
      </c>
      <c r="N427" s="257">
        <f t="shared" si="339"/>
        <v>0</v>
      </c>
      <c r="O427" s="257">
        <f t="shared" ref="O427" si="340">O428+O429</f>
        <v>0</v>
      </c>
    </row>
    <row r="428" spans="1:15" ht="30" hidden="1" customHeight="1" x14ac:dyDescent="0.2">
      <c r="A428" s="367" t="s">
        <v>1143</v>
      </c>
      <c r="B428" s="252" t="s">
        <v>343</v>
      </c>
      <c r="C428" s="272" t="s">
        <v>208</v>
      </c>
      <c r="D428" s="272" t="s">
        <v>194</v>
      </c>
      <c r="E428" s="272" t="s">
        <v>762</v>
      </c>
      <c r="F428" s="272" t="s">
        <v>160</v>
      </c>
      <c r="G428" s="257">
        <v>0</v>
      </c>
      <c r="H428" s="257">
        <v>0</v>
      </c>
      <c r="I428" s="257">
        <v>0</v>
      </c>
      <c r="J428" s="257">
        <v>0</v>
      </c>
      <c r="K428" s="257">
        <f t="shared" ref="K428:L429" si="341">I428+J428</f>
        <v>0</v>
      </c>
      <c r="L428" s="257">
        <f t="shared" si="341"/>
        <v>0</v>
      </c>
      <c r="M428" s="257">
        <v>0</v>
      </c>
      <c r="N428" s="257">
        <f>L428+M428</f>
        <v>0</v>
      </c>
      <c r="O428" s="257">
        <f t="shared" ref="O428" si="342">M428+N428</f>
        <v>0</v>
      </c>
    </row>
    <row r="429" spans="1:15" ht="35.25" hidden="1" customHeight="1" x14ac:dyDescent="0.2">
      <c r="A429" s="391" t="s">
        <v>856</v>
      </c>
      <c r="B429" s="252" t="s">
        <v>343</v>
      </c>
      <c r="C429" s="272" t="s">
        <v>208</v>
      </c>
      <c r="D429" s="272" t="s">
        <v>194</v>
      </c>
      <c r="E429" s="272" t="s">
        <v>855</v>
      </c>
      <c r="F429" s="272" t="s">
        <v>769</v>
      </c>
      <c r="G429" s="257">
        <v>0</v>
      </c>
      <c r="H429" s="257">
        <v>220</v>
      </c>
      <c r="I429" s="257">
        <v>0</v>
      </c>
      <c r="J429" s="257">
        <v>0</v>
      </c>
      <c r="K429" s="257">
        <f t="shared" si="341"/>
        <v>0</v>
      </c>
      <c r="L429" s="257">
        <v>0</v>
      </c>
      <c r="M429" s="257">
        <v>0</v>
      </c>
      <c r="N429" s="257">
        <f>L429+M429</f>
        <v>0</v>
      </c>
      <c r="O429" s="257">
        <v>0</v>
      </c>
    </row>
    <row r="430" spans="1:15" ht="33.75" hidden="1" customHeight="1" x14ac:dyDescent="0.2">
      <c r="A430" s="417" t="s">
        <v>1195</v>
      </c>
      <c r="B430" s="252" t="s">
        <v>343</v>
      </c>
      <c r="C430" s="272" t="s">
        <v>208</v>
      </c>
      <c r="D430" s="272" t="s">
        <v>194</v>
      </c>
      <c r="E430" s="272" t="s">
        <v>1086</v>
      </c>
      <c r="F430" s="272"/>
      <c r="G430" s="257">
        <v>8352</v>
      </c>
      <c r="H430" s="257">
        <v>830</v>
      </c>
      <c r="I430" s="257">
        <v>0</v>
      </c>
      <c r="J430" s="257">
        <f t="shared" ref="J430:O430" si="343">J431</f>
        <v>0</v>
      </c>
      <c r="K430" s="257">
        <f>L431</f>
        <v>0</v>
      </c>
      <c r="L430" s="257">
        <f t="shared" si="343"/>
        <v>0</v>
      </c>
      <c r="M430" s="257">
        <f t="shared" si="343"/>
        <v>0</v>
      </c>
      <c r="N430" s="257">
        <f t="shared" si="343"/>
        <v>0</v>
      </c>
      <c r="O430" s="257">
        <f t="shared" si="343"/>
        <v>0</v>
      </c>
    </row>
    <row r="431" spans="1:15" ht="33.75" hidden="1" customHeight="1" x14ac:dyDescent="0.2">
      <c r="A431" s="367" t="s">
        <v>761</v>
      </c>
      <c r="B431" s="252" t="s">
        <v>343</v>
      </c>
      <c r="C431" s="272" t="s">
        <v>208</v>
      </c>
      <c r="D431" s="272" t="s">
        <v>194</v>
      </c>
      <c r="E431" s="272" t="s">
        <v>1086</v>
      </c>
      <c r="F431" s="272" t="s">
        <v>769</v>
      </c>
      <c r="G431" s="257">
        <v>8352</v>
      </c>
      <c r="H431" s="257">
        <v>830</v>
      </c>
      <c r="I431" s="257">
        <v>0</v>
      </c>
      <c r="J431" s="257">
        <v>0</v>
      </c>
      <c r="K431" s="257">
        <f t="shared" ref="K431" si="344">I431+J431</f>
        <v>0</v>
      </c>
      <c r="L431" s="257">
        <v>0</v>
      </c>
      <c r="M431" s="257">
        <v>0</v>
      </c>
      <c r="N431" s="257">
        <f>L431+M431</f>
        <v>0</v>
      </c>
      <c r="O431" s="257">
        <v>0</v>
      </c>
    </row>
    <row r="432" spans="1:15" ht="18" hidden="1" customHeight="1" x14ac:dyDescent="0.2">
      <c r="A432" s="367" t="s">
        <v>887</v>
      </c>
      <c r="B432" s="252" t="s">
        <v>343</v>
      </c>
      <c r="C432" s="272" t="s">
        <v>208</v>
      </c>
      <c r="D432" s="272" t="s">
        <v>194</v>
      </c>
      <c r="E432" s="272" t="s">
        <v>888</v>
      </c>
      <c r="F432" s="272"/>
      <c r="G432" s="257">
        <v>0</v>
      </c>
      <c r="H432" s="257">
        <v>0</v>
      </c>
      <c r="I432" s="257">
        <v>0</v>
      </c>
      <c r="J432" s="257">
        <f t="shared" ref="J432:O432" si="345">J433</f>
        <v>0</v>
      </c>
      <c r="K432" s="257">
        <f>L433</f>
        <v>0</v>
      </c>
      <c r="L432" s="257">
        <f t="shared" si="345"/>
        <v>0</v>
      </c>
      <c r="M432" s="257">
        <f t="shared" si="345"/>
        <v>0</v>
      </c>
      <c r="N432" s="257">
        <f t="shared" si="345"/>
        <v>0</v>
      </c>
      <c r="O432" s="257">
        <f t="shared" si="345"/>
        <v>0</v>
      </c>
    </row>
    <row r="433" spans="1:15" ht="15.75" hidden="1" customHeight="1" x14ac:dyDescent="0.2">
      <c r="A433" s="367" t="s">
        <v>768</v>
      </c>
      <c r="B433" s="252" t="s">
        <v>343</v>
      </c>
      <c r="C433" s="272" t="s">
        <v>208</v>
      </c>
      <c r="D433" s="272" t="s">
        <v>194</v>
      </c>
      <c r="E433" s="272" t="s">
        <v>888</v>
      </c>
      <c r="F433" s="272" t="s">
        <v>769</v>
      </c>
      <c r="G433" s="257">
        <v>0</v>
      </c>
      <c r="H433" s="257">
        <v>0</v>
      </c>
      <c r="I433" s="257">
        <v>0</v>
      </c>
      <c r="J433" s="257">
        <f t="shared" si="334"/>
        <v>0</v>
      </c>
      <c r="K433" s="257">
        <f t="shared" si="334"/>
        <v>0</v>
      </c>
      <c r="L433" s="257">
        <f t="shared" si="334"/>
        <v>0</v>
      </c>
      <c r="M433" s="257">
        <f>L433+L433</f>
        <v>0</v>
      </c>
      <c r="N433" s="257">
        <f>L433+M433</f>
        <v>0</v>
      </c>
      <c r="O433" s="257">
        <f t="shared" ref="O433" si="346">M433+N433</f>
        <v>0</v>
      </c>
    </row>
    <row r="434" spans="1:15" ht="20.25" hidden="1" customHeight="1" x14ac:dyDescent="0.2">
      <c r="A434" s="367" t="s">
        <v>887</v>
      </c>
      <c r="B434" s="252" t="s">
        <v>343</v>
      </c>
      <c r="C434" s="272" t="s">
        <v>208</v>
      </c>
      <c r="D434" s="272" t="s">
        <v>194</v>
      </c>
      <c r="E434" s="272" t="s">
        <v>888</v>
      </c>
      <c r="F434" s="272"/>
      <c r="G434" s="257">
        <v>0</v>
      </c>
      <c r="H434" s="257">
        <v>700</v>
      </c>
      <c r="I434" s="257">
        <v>0</v>
      </c>
      <c r="J434" s="257">
        <f t="shared" ref="J434:O434" si="347">J435</f>
        <v>0</v>
      </c>
      <c r="K434" s="257">
        <f>L435</f>
        <v>0</v>
      </c>
      <c r="L434" s="257">
        <f t="shared" si="347"/>
        <v>0</v>
      </c>
      <c r="M434" s="257">
        <f t="shared" si="347"/>
        <v>0</v>
      </c>
      <c r="N434" s="257">
        <f t="shared" si="347"/>
        <v>0</v>
      </c>
      <c r="O434" s="257">
        <f t="shared" si="347"/>
        <v>0</v>
      </c>
    </row>
    <row r="435" spans="1:15" ht="20.25" hidden="1" customHeight="1" x14ac:dyDescent="0.2">
      <c r="A435" s="367" t="s">
        <v>768</v>
      </c>
      <c r="B435" s="252" t="s">
        <v>343</v>
      </c>
      <c r="C435" s="272" t="s">
        <v>208</v>
      </c>
      <c r="D435" s="272" t="s">
        <v>194</v>
      </c>
      <c r="E435" s="272" t="s">
        <v>888</v>
      </c>
      <c r="F435" s="272" t="s">
        <v>769</v>
      </c>
      <c r="G435" s="257">
        <v>0</v>
      </c>
      <c r="H435" s="257">
        <v>700</v>
      </c>
      <c r="I435" s="257">
        <v>0</v>
      </c>
      <c r="J435" s="257">
        <v>0</v>
      </c>
      <c r="K435" s="257">
        <f t="shared" ref="K435" si="348">I435+J435</f>
        <v>0</v>
      </c>
      <c r="L435" s="257">
        <v>0</v>
      </c>
      <c r="M435" s="257">
        <v>0</v>
      </c>
      <c r="N435" s="257">
        <f>L435+M435</f>
        <v>0</v>
      </c>
      <c r="O435" s="257">
        <v>0</v>
      </c>
    </row>
    <row r="436" spans="1:15" s="428" customFormat="1" ht="15.75" x14ac:dyDescent="0.2">
      <c r="A436" s="553" t="s">
        <v>308</v>
      </c>
      <c r="B436" s="554"/>
      <c r="C436" s="554"/>
      <c r="D436" s="554"/>
      <c r="E436" s="554"/>
      <c r="F436" s="554"/>
      <c r="G436" s="447">
        <v>6175</v>
      </c>
      <c r="H436" s="447">
        <v>559</v>
      </c>
      <c r="I436" s="447">
        <v>6175</v>
      </c>
      <c r="J436" s="447">
        <f t="shared" ref="J436:O436" si="349">J437</f>
        <v>393</v>
      </c>
      <c r="K436" s="447">
        <f>L437</f>
        <v>6568</v>
      </c>
      <c r="L436" s="447">
        <f t="shared" si="349"/>
        <v>6568</v>
      </c>
      <c r="M436" s="447">
        <f>M437</f>
        <v>404</v>
      </c>
      <c r="N436" s="447">
        <f t="shared" si="349"/>
        <v>6972</v>
      </c>
      <c r="O436" s="447">
        <f t="shared" si="349"/>
        <v>6954</v>
      </c>
    </row>
    <row r="437" spans="1:15" s="430" customFormat="1" ht="14.25" x14ac:dyDescent="0.2">
      <c r="A437" s="462" t="s">
        <v>72</v>
      </c>
      <c r="B437" s="249">
        <v>800</v>
      </c>
      <c r="C437" s="250" t="s">
        <v>190</v>
      </c>
      <c r="D437" s="250"/>
      <c r="E437" s="250"/>
      <c r="F437" s="250"/>
      <c r="G437" s="275">
        <v>6175</v>
      </c>
      <c r="H437" s="275">
        <v>559</v>
      </c>
      <c r="I437" s="275">
        <v>6175</v>
      </c>
      <c r="J437" s="275">
        <f t="shared" ref="J437" si="350">J438+J475</f>
        <v>393</v>
      </c>
      <c r="K437" s="275">
        <f>L438+L475</f>
        <v>6568</v>
      </c>
      <c r="L437" s="275">
        <f t="shared" ref="L437" si="351">L438+L475</f>
        <v>6568</v>
      </c>
      <c r="M437" s="275">
        <f t="shared" ref="M437:N437" si="352">M438+M475</f>
        <v>404</v>
      </c>
      <c r="N437" s="275">
        <f t="shared" si="352"/>
        <v>6972</v>
      </c>
      <c r="O437" s="275">
        <f t="shared" ref="O437" si="353">O438+O475</f>
        <v>6954</v>
      </c>
    </row>
    <row r="438" spans="1:15" s="430" customFormat="1" ht="41.25" customHeight="1" x14ac:dyDescent="0.2">
      <c r="A438" s="462" t="s">
        <v>193</v>
      </c>
      <c r="B438" s="249">
        <v>800</v>
      </c>
      <c r="C438" s="250" t="s">
        <v>190</v>
      </c>
      <c r="D438" s="250" t="s">
        <v>194</v>
      </c>
      <c r="E438" s="250"/>
      <c r="F438" s="250"/>
      <c r="G438" s="275">
        <v>4371</v>
      </c>
      <c r="H438" s="275">
        <v>163</v>
      </c>
      <c r="I438" s="275">
        <v>4371</v>
      </c>
      <c r="J438" s="275">
        <f t="shared" ref="J438" si="354">J461+J465</f>
        <v>133</v>
      </c>
      <c r="K438" s="275">
        <f>L461+L465</f>
        <v>4504</v>
      </c>
      <c r="L438" s="275">
        <f t="shared" ref="L438" si="355">L461+L465</f>
        <v>4504</v>
      </c>
      <c r="M438" s="275">
        <f t="shared" ref="M438:N438" si="356">M461+M465</f>
        <v>216</v>
      </c>
      <c r="N438" s="275">
        <f t="shared" si="356"/>
        <v>4720</v>
      </c>
      <c r="O438" s="275">
        <f t="shared" ref="O438" si="357">O461+O465</f>
        <v>4720</v>
      </c>
    </row>
    <row r="439" spans="1:15" ht="33.75" hidden="1" customHeight="1" x14ac:dyDescent="0.2">
      <c r="A439" s="259" t="s">
        <v>123</v>
      </c>
      <c r="B439" s="271">
        <v>800</v>
      </c>
      <c r="C439" s="252" t="s">
        <v>190</v>
      </c>
      <c r="D439" s="252" t="s">
        <v>194</v>
      </c>
      <c r="E439" s="260" t="s">
        <v>332</v>
      </c>
      <c r="F439" s="252"/>
      <c r="G439" s="257">
        <v>-15665.6</v>
      </c>
      <c r="H439" s="257">
        <v>-25456.6</v>
      </c>
      <c r="I439" s="257">
        <v>-25456.6</v>
      </c>
      <c r="J439" s="257" t="e">
        <f t="shared" ref="J439:O439" si="358">J440</f>
        <v>#REF!</v>
      </c>
      <c r="K439" s="257" t="e">
        <f>L440</f>
        <v>#REF!</v>
      </c>
      <c r="L439" s="257" t="e">
        <f t="shared" si="358"/>
        <v>#REF!</v>
      </c>
      <c r="M439" s="257" t="e">
        <f t="shared" si="358"/>
        <v>#REF!</v>
      </c>
      <c r="N439" s="257" t="e">
        <f t="shared" si="358"/>
        <v>#REF!</v>
      </c>
      <c r="O439" s="257" t="e">
        <f t="shared" si="358"/>
        <v>#REF!</v>
      </c>
    </row>
    <row r="440" spans="1:15" hidden="1" x14ac:dyDescent="0.2">
      <c r="A440" s="259" t="s">
        <v>333</v>
      </c>
      <c r="B440" s="271">
        <v>800</v>
      </c>
      <c r="C440" s="252" t="s">
        <v>190</v>
      </c>
      <c r="D440" s="252" t="s">
        <v>194</v>
      </c>
      <c r="E440" s="260" t="s">
        <v>334</v>
      </c>
      <c r="F440" s="252"/>
      <c r="G440" s="257">
        <v>-15665.6</v>
      </c>
      <c r="H440" s="257">
        <v>-25456.6</v>
      </c>
      <c r="I440" s="257">
        <v>-25456.6</v>
      </c>
      <c r="J440" s="257" t="e">
        <f t="shared" ref="J440" si="359">J441+J442+J443+J445+J448</f>
        <v>#REF!</v>
      </c>
      <c r="K440" s="257" t="e">
        <f>L441+L442+L443+L445+L448</f>
        <v>#REF!</v>
      </c>
      <c r="L440" s="257" t="e">
        <f t="shared" ref="L440" si="360">L441+L442+L443+L445+L448</f>
        <v>#REF!</v>
      </c>
      <c r="M440" s="257" t="e">
        <f t="shared" ref="M440:N440" si="361">M441+M442+M443+M445+M448</f>
        <v>#REF!</v>
      </c>
      <c r="N440" s="257" t="e">
        <f t="shared" si="361"/>
        <v>#REF!</v>
      </c>
      <c r="O440" s="257" t="e">
        <f t="shared" ref="O440" si="362">O441+O442+O443+O445+O448</f>
        <v>#REF!</v>
      </c>
    </row>
    <row r="441" spans="1:15" hidden="1" x14ac:dyDescent="0.2">
      <c r="A441" s="259" t="s">
        <v>95</v>
      </c>
      <c r="B441" s="271">
        <v>800</v>
      </c>
      <c r="C441" s="252" t="s">
        <v>190</v>
      </c>
      <c r="D441" s="252" t="s">
        <v>194</v>
      </c>
      <c r="E441" s="260" t="s">
        <v>334</v>
      </c>
      <c r="F441" s="252" t="s">
        <v>96</v>
      </c>
      <c r="G441" s="257">
        <v>-10289.6</v>
      </c>
      <c r="H441" s="257">
        <v>-16720.599999999999</v>
      </c>
      <c r="I441" s="257">
        <v>-16720.599999999999</v>
      </c>
      <c r="J441" s="257" t="e">
        <f>#REF!+H441</f>
        <v>#REF!</v>
      </c>
      <c r="K441" s="257">
        <f t="shared" ref="K441:K448" si="363">G441+I441</f>
        <v>-27010.199999999997</v>
      </c>
      <c r="L441" s="257" t="e">
        <f t="shared" ref="L441:L448" si="364">I441+J441</f>
        <v>#REF!</v>
      </c>
      <c r="M441" s="257" t="e">
        <f t="shared" ref="M441:M448" si="365">I441+L441</f>
        <v>#REF!</v>
      </c>
      <c r="N441" s="257" t="e">
        <f t="shared" ref="N441:N448" si="366">J441+L441</f>
        <v>#REF!</v>
      </c>
      <c r="O441" s="257" t="e">
        <f t="shared" ref="O441:O448" si="367">L441+M441</f>
        <v>#REF!</v>
      </c>
    </row>
    <row r="442" spans="1:15" hidden="1" x14ac:dyDescent="0.2">
      <c r="A442" s="259" t="s">
        <v>97</v>
      </c>
      <c r="B442" s="271">
        <v>800</v>
      </c>
      <c r="C442" s="252" t="s">
        <v>190</v>
      </c>
      <c r="D442" s="252" t="s">
        <v>194</v>
      </c>
      <c r="E442" s="260" t="s">
        <v>334</v>
      </c>
      <c r="F442" s="252" t="s">
        <v>98</v>
      </c>
      <c r="G442" s="257">
        <v>-1216</v>
      </c>
      <c r="H442" s="257">
        <v>-1976</v>
      </c>
      <c r="I442" s="257">
        <v>-1976</v>
      </c>
      <c r="J442" s="257" t="e">
        <f>#REF!+H442</f>
        <v>#REF!</v>
      </c>
      <c r="K442" s="257">
        <f t="shared" si="363"/>
        <v>-3192</v>
      </c>
      <c r="L442" s="257" t="e">
        <f t="shared" si="364"/>
        <v>#REF!</v>
      </c>
      <c r="M442" s="257" t="e">
        <f t="shared" si="365"/>
        <v>#REF!</v>
      </c>
      <c r="N442" s="257" t="e">
        <f t="shared" si="366"/>
        <v>#REF!</v>
      </c>
      <c r="O442" s="257" t="e">
        <f t="shared" si="367"/>
        <v>#REF!</v>
      </c>
    </row>
    <row r="443" spans="1:15" ht="17.25" hidden="1" customHeight="1" x14ac:dyDescent="0.2">
      <c r="A443" s="259" t="s">
        <v>99</v>
      </c>
      <c r="B443" s="271">
        <v>800</v>
      </c>
      <c r="C443" s="252" t="s">
        <v>190</v>
      </c>
      <c r="D443" s="252" t="s">
        <v>194</v>
      </c>
      <c r="E443" s="260" t="s">
        <v>334</v>
      </c>
      <c r="F443" s="252" t="s">
        <v>100</v>
      </c>
      <c r="G443" s="257">
        <v>-424</v>
      </c>
      <c r="H443" s="257">
        <v>-689</v>
      </c>
      <c r="I443" s="257">
        <v>-689</v>
      </c>
      <c r="J443" s="257" t="e">
        <f>#REF!+H443</f>
        <v>#REF!</v>
      </c>
      <c r="K443" s="257">
        <f t="shared" si="363"/>
        <v>-1113</v>
      </c>
      <c r="L443" s="257" t="e">
        <f t="shared" si="364"/>
        <v>#REF!</v>
      </c>
      <c r="M443" s="257" t="e">
        <f t="shared" si="365"/>
        <v>#REF!</v>
      </c>
      <c r="N443" s="257" t="e">
        <f t="shared" si="366"/>
        <v>#REF!</v>
      </c>
      <c r="O443" s="257" t="e">
        <f t="shared" si="367"/>
        <v>#REF!</v>
      </c>
    </row>
    <row r="444" spans="1:15" ht="25.5" hidden="1" customHeight="1" x14ac:dyDescent="0.2">
      <c r="A444" s="259" t="s">
        <v>101</v>
      </c>
      <c r="B444" s="271">
        <v>800</v>
      </c>
      <c r="C444" s="252" t="s">
        <v>190</v>
      </c>
      <c r="D444" s="252" t="s">
        <v>194</v>
      </c>
      <c r="E444" s="260" t="s">
        <v>334</v>
      </c>
      <c r="F444" s="252" t="s">
        <v>102</v>
      </c>
      <c r="G444" s="257" t="e">
        <v>#REF!</v>
      </c>
      <c r="H444" s="257" t="e">
        <v>#REF!</v>
      </c>
      <c r="I444" s="257" t="e">
        <v>#REF!</v>
      </c>
      <c r="J444" s="257" t="e">
        <f>#REF!+H444</f>
        <v>#REF!</v>
      </c>
      <c r="K444" s="257" t="e">
        <f t="shared" si="363"/>
        <v>#REF!</v>
      </c>
      <c r="L444" s="257" t="e">
        <f t="shared" si="364"/>
        <v>#REF!</v>
      </c>
      <c r="M444" s="257" t="e">
        <f t="shared" si="365"/>
        <v>#REF!</v>
      </c>
      <c r="N444" s="257" t="e">
        <f t="shared" si="366"/>
        <v>#REF!</v>
      </c>
      <c r="O444" s="257" t="e">
        <f t="shared" si="367"/>
        <v>#REF!</v>
      </c>
    </row>
    <row r="445" spans="1:15" ht="15" hidden="1" customHeight="1" x14ac:dyDescent="0.2">
      <c r="A445" s="259" t="s">
        <v>93</v>
      </c>
      <c r="B445" s="271">
        <v>800</v>
      </c>
      <c r="C445" s="252" t="s">
        <v>190</v>
      </c>
      <c r="D445" s="252" t="s">
        <v>194</v>
      </c>
      <c r="E445" s="260" t="s">
        <v>334</v>
      </c>
      <c r="F445" s="252" t="s">
        <v>94</v>
      </c>
      <c r="G445" s="257">
        <v>-3600</v>
      </c>
      <c r="H445" s="257">
        <v>-5850</v>
      </c>
      <c r="I445" s="257">
        <v>-5850</v>
      </c>
      <c r="J445" s="257" t="e">
        <f>#REF!+H445</f>
        <v>#REF!</v>
      </c>
      <c r="K445" s="257">
        <f t="shared" si="363"/>
        <v>-9450</v>
      </c>
      <c r="L445" s="257" t="e">
        <f t="shared" si="364"/>
        <v>#REF!</v>
      </c>
      <c r="M445" s="257" t="e">
        <f t="shared" si="365"/>
        <v>#REF!</v>
      </c>
      <c r="N445" s="257" t="e">
        <f t="shared" si="366"/>
        <v>#REF!</v>
      </c>
      <c r="O445" s="257" t="e">
        <f t="shared" si="367"/>
        <v>#REF!</v>
      </c>
    </row>
    <row r="446" spans="1:15" ht="12.75" hidden="1" customHeight="1" x14ac:dyDescent="0.2">
      <c r="A446" s="259" t="s">
        <v>302</v>
      </c>
      <c r="B446" s="271">
        <v>800</v>
      </c>
      <c r="C446" s="252" t="s">
        <v>202</v>
      </c>
      <c r="D446" s="252" t="s">
        <v>212</v>
      </c>
      <c r="E446" s="260" t="s">
        <v>334</v>
      </c>
      <c r="F446" s="252" t="s">
        <v>303</v>
      </c>
      <c r="G446" s="257" t="e">
        <v>#REF!</v>
      </c>
      <c r="H446" s="257" t="e">
        <v>#REF!</v>
      </c>
      <c r="I446" s="257" t="e">
        <v>#REF!</v>
      </c>
      <c r="J446" s="257" t="e">
        <f>#REF!+H446</f>
        <v>#REF!</v>
      </c>
      <c r="K446" s="257" t="e">
        <f t="shared" si="363"/>
        <v>#REF!</v>
      </c>
      <c r="L446" s="257" t="e">
        <f t="shared" si="364"/>
        <v>#REF!</v>
      </c>
      <c r="M446" s="257" t="e">
        <f t="shared" si="365"/>
        <v>#REF!</v>
      </c>
      <c r="N446" s="257" t="e">
        <f t="shared" si="366"/>
        <v>#REF!</v>
      </c>
      <c r="O446" s="257" t="e">
        <f t="shared" si="367"/>
        <v>#REF!</v>
      </c>
    </row>
    <row r="447" spans="1:15" ht="12.75" hidden="1" customHeight="1" x14ac:dyDescent="0.2">
      <c r="A447" s="259" t="s">
        <v>63</v>
      </c>
      <c r="B447" s="271">
        <v>800</v>
      </c>
      <c r="C447" s="252" t="s">
        <v>190</v>
      </c>
      <c r="D447" s="252" t="s">
        <v>194</v>
      </c>
      <c r="E447" s="260" t="s">
        <v>334</v>
      </c>
      <c r="F447" s="252" t="s">
        <v>64</v>
      </c>
      <c r="G447" s="257" t="e">
        <v>#REF!</v>
      </c>
      <c r="H447" s="257" t="e">
        <v>#REF!</v>
      </c>
      <c r="I447" s="257" t="e">
        <v>#REF!</v>
      </c>
      <c r="J447" s="257" t="e">
        <f>#REF!+H447</f>
        <v>#REF!</v>
      </c>
      <c r="K447" s="257" t="e">
        <f t="shared" si="363"/>
        <v>#REF!</v>
      </c>
      <c r="L447" s="257" t="e">
        <f t="shared" si="364"/>
        <v>#REF!</v>
      </c>
      <c r="M447" s="257" t="e">
        <f t="shared" si="365"/>
        <v>#REF!</v>
      </c>
      <c r="N447" s="257" t="e">
        <f t="shared" si="366"/>
        <v>#REF!</v>
      </c>
      <c r="O447" s="257" t="e">
        <f t="shared" si="367"/>
        <v>#REF!</v>
      </c>
    </row>
    <row r="448" spans="1:15" hidden="1" x14ac:dyDescent="0.2">
      <c r="A448" s="259" t="s">
        <v>103</v>
      </c>
      <c r="B448" s="271">
        <v>800</v>
      </c>
      <c r="C448" s="252" t="s">
        <v>190</v>
      </c>
      <c r="D448" s="252" t="s">
        <v>194</v>
      </c>
      <c r="E448" s="260" t="s">
        <v>334</v>
      </c>
      <c r="F448" s="252" t="s">
        <v>104</v>
      </c>
      <c r="G448" s="257">
        <v>-136</v>
      </c>
      <c r="H448" s="257">
        <v>-221</v>
      </c>
      <c r="I448" s="257">
        <v>-221</v>
      </c>
      <c r="J448" s="257" t="e">
        <f>#REF!+H448</f>
        <v>#REF!</v>
      </c>
      <c r="K448" s="257">
        <f t="shared" si="363"/>
        <v>-357</v>
      </c>
      <c r="L448" s="257" t="e">
        <f t="shared" si="364"/>
        <v>#REF!</v>
      </c>
      <c r="M448" s="257" t="e">
        <f t="shared" si="365"/>
        <v>#REF!</v>
      </c>
      <c r="N448" s="257" t="e">
        <f t="shared" si="366"/>
        <v>#REF!</v>
      </c>
      <c r="O448" s="257" t="e">
        <f t="shared" si="367"/>
        <v>#REF!</v>
      </c>
    </row>
    <row r="449" spans="1:15" ht="12.75" hidden="1" customHeight="1" x14ac:dyDescent="0.2">
      <c r="A449" s="259" t="s">
        <v>105</v>
      </c>
      <c r="B449" s="271">
        <v>800</v>
      </c>
      <c r="C449" s="252" t="s">
        <v>190</v>
      </c>
      <c r="D449" s="252" t="s">
        <v>194</v>
      </c>
      <c r="E449" s="260" t="s">
        <v>334</v>
      </c>
      <c r="F449" s="252" t="s">
        <v>106</v>
      </c>
      <c r="G449" s="257" t="e">
        <v>#REF!</v>
      </c>
      <c r="H449" s="257" t="e">
        <v>#REF!</v>
      </c>
      <c r="I449" s="257" t="e">
        <v>#REF!</v>
      </c>
      <c r="J449" s="257" t="e">
        <f>#REF!+H449</f>
        <v>#REF!</v>
      </c>
      <c r="K449" s="257" t="e">
        <f>#REF!+I449</f>
        <v>#REF!</v>
      </c>
      <c r="L449" s="257" t="e">
        <f t="shared" ref="L449" si="368">F449+J449</f>
        <v>#REF!</v>
      </c>
      <c r="M449" s="257" t="e">
        <f>G449+L449</f>
        <v>#REF!</v>
      </c>
      <c r="N449" s="257" t="e">
        <f>H449+L449</f>
        <v>#REF!</v>
      </c>
      <c r="O449" s="257" t="e">
        <f t="shared" ref="O449" si="369">I449+M449</f>
        <v>#REF!</v>
      </c>
    </row>
    <row r="450" spans="1:15" hidden="1" x14ac:dyDescent="0.2">
      <c r="A450" s="259" t="s">
        <v>309</v>
      </c>
      <c r="B450" s="271">
        <v>800</v>
      </c>
      <c r="C450" s="252" t="s">
        <v>190</v>
      </c>
      <c r="D450" s="252" t="s">
        <v>194</v>
      </c>
      <c r="E450" s="260" t="s">
        <v>310</v>
      </c>
      <c r="F450" s="252"/>
      <c r="G450" s="257">
        <v>-10572.8</v>
      </c>
      <c r="H450" s="257">
        <v>-17180.8</v>
      </c>
      <c r="I450" s="257">
        <v>-17180.8</v>
      </c>
      <c r="J450" s="257" t="e">
        <f t="shared" ref="J450:O450" si="370">J451</f>
        <v>#REF!</v>
      </c>
      <c r="K450" s="257" t="e">
        <f>L451</f>
        <v>#REF!</v>
      </c>
      <c r="L450" s="257" t="e">
        <f t="shared" si="370"/>
        <v>#REF!</v>
      </c>
      <c r="M450" s="257" t="e">
        <f t="shared" si="370"/>
        <v>#REF!</v>
      </c>
      <c r="N450" s="257" t="e">
        <f t="shared" si="370"/>
        <v>#REF!</v>
      </c>
      <c r="O450" s="257" t="e">
        <f t="shared" si="370"/>
        <v>#REF!</v>
      </c>
    </row>
    <row r="451" spans="1:15" hidden="1" x14ac:dyDescent="0.2">
      <c r="A451" s="259" t="s">
        <v>95</v>
      </c>
      <c r="B451" s="271">
        <v>800</v>
      </c>
      <c r="C451" s="252" t="s">
        <v>190</v>
      </c>
      <c r="D451" s="252" t="s">
        <v>194</v>
      </c>
      <c r="E451" s="260" t="s">
        <v>310</v>
      </c>
      <c r="F451" s="252" t="s">
        <v>96</v>
      </c>
      <c r="G451" s="257">
        <v>-10572.8</v>
      </c>
      <c r="H451" s="257">
        <v>-17180.8</v>
      </c>
      <c r="I451" s="257">
        <v>-17180.8</v>
      </c>
      <c r="J451" s="257" t="e">
        <f>#REF!+H451</f>
        <v>#REF!</v>
      </c>
      <c r="K451" s="257">
        <f t="shared" ref="K451" si="371">G451+I451</f>
        <v>-27753.599999999999</v>
      </c>
      <c r="L451" s="257" t="e">
        <f>I451+J451</f>
        <v>#REF!</v>
      </c>
      <c r="M451" s="257" t="e">
        <f>I451+L451</f>
        <v>#REF!</v>
      </c>
      <c r="N451" s="257" t="e">
        <f>J451+L451</f>
        <v>#REF!</v>
      </c>
      <c r="O451" s="257" t="e">
        <f>L451+M451</f>
        <v>#REF!</v>
      </c>
    </row>
    <row r="452" spans="1:15" ht="29.25" hidden="1" customHeight="1" x14ac:dyDescent="0.2">
      <c r="A452" s="259" t="s">
        <v>452</v>
      </c>
      <c r="B452" s="271">
        <v>800</v>
      </c>
      <c r="C452" s="252" t="s">
        <v>190</v>
      </c>
      <c r="D452" s="252" t="s">
        <v>194</v>
      </c>
      <c r="E452" s="260" t="s">
        <v>450</v>
      </c>
      <c r="F452" s="252"/>
      <c r="G452" s="257" t="e">
        <v>#REF!</v>
      </c>
      <c r="H452" s="257" t="e">
        <v>#REF!</v>
      </c>
      <c r="I452" s="257" t="e">
        <v>#REF!</v>
      </c>
      <c r="J452" s="257" t="e">
        <f t="shared" ref="J452" si="372">J453+J455</f>
        <v>#REF!</v>
      </c>
      <c r="K452" s="257" t="e">
        <f>L453+L455</f>
        <v>#REF!</v>
      </c>
      <c r="L452" s="257" t="e">
        <f t="shared" ref="L452" si="373">L453+L455</f>
        <v>#REF!</v>
      </c>
      <c r="M452" s="257" t="e">
        <f t="shared" ref="M452:N452" si="374">M453+M455</f>
        <v>#REF!</v>
      </c>
      <c r="N452" s="257" t="e">
        <f t="shared" si="374"/>
        <v>#REF!</v>
      </c>
      <c r="O452" s="257" t="e">
        <f t="shared" ref="O452" si="375">O453+O455</f>
        <v>#REF!</v>
      </c>
    </row>
    <row r="453" spans="1:15" ht="18.75" hidden="1" customHeight="1" x14ac:dyDescent="0.2">
      <c r="A453" s="259" t="s">
        <v>451</v>
      </c>
      <c r="B453" s="271">
        <v>800</v>
      </c>
      <c r="C453" s="252" t="s">
        <v>190</v>
      </c>
      <c r="D453" s="252" t="s">
        <v>194</v>
      </c>
      <c r="E453" s="260" t="s">
        <v>485</v>
      </c>
      <c r="F453" s="252"/>
      <c r="G453" s="257" t="e">
        <v>#REF!</v>
      </c>
      <c r="H453" s="257" t="e">
        <v>#REF!</v>
      </c>
      <c r="I453" s="257" t="e">
        <v>#REF!</v>
      </c>
      <c r="J453" s="257" t="e">
        <f t="shared" ref="J453:O453" si="376">J454</f>
        <v>#REF!</v>
      </c>
      <c r="K453" s="257" t="e">
        <f>L454</f>
        <v>#REF!</v>
      </c>
      <c r="L453" s="257" t="e">
        <f t="shared" si="376"/>
        <v>#REF!</v>
      </c>
      <c r="M453" s="257" t="e">
        <f t="shared" si="376"/>
        <v>#REF!</v>
      </c>
      <c r="N453" s="257" t="e">
        <f t="shared" si="376"/>
        <v>#REF!</v>
      </c>
      <c r="O453" s="257" t="e">
        <f t="shared" si="376"/>
        <v>#REF!</v>
      </c>
    </row>
    <row r="454" spans="1:15" ht="15.75" hidden="1" customHeight="1" x14ac:dyDescent="0.2">
      <c r="A454" s="259" t="s">
        <v>95</v>
      </c>
      <c r="B454" s="271">
        <v>800</v>
      </c>
      <c r="C454" s="252" t="s">
        <v>190</v>
      </c>
      <c r="D454" s="252" t="s">
        <v>194</v>
      </c>
      <c r="E454" s="260" t="s">
        <v>485</v>
      </c>
      <c r="F454" s="252" t="s">
        <v>96</v>
      </c>
      <c r="G454" s="257" t="e">
        <v>#REF!</v>
      </c>
      <c r="H454" s="257" t="e">
        <v>#REF!</v>
      </c>
      <c r="I454" s="257" t="e">
        <v>#REF!</v>
      </c>
      <c r="J454" s="257" t="e">
        <f>#REF!+H454</f>
        <v>#REF!</v>
      </c>
      <c r="K454" s="257" t="e">
        <f>#REF!+I454</f>
        <v>#REF!</v>
      </c>
      <c r="L454" s="257" t="e">
        <f>#REF!+J454</f>
        <v>#REF!</v>
      </c>
      <c r="M454" s="257" t="e">
        <f>#REF!+L454</f>
        <v>#REF!</v>
      </c>
      <c r="N454" s="257" t="e">
        <f>#REF!+L454</f>
        <v>#REF!</v>
      </c>
      <c r="O454" s="257" t="e">
        <f>#REF!+M454</f>
        <v>#REF!</v>
      </c>
    </row>
    <row r="455" spans="1:15" ht="27.75" hidden="1" customHeight="1" x14ac:dyDescent="0.2">
      <c r="A455" s="259" t="s">
        <v>736</v>
      </c>
      <c r="B455" s="271">
        <v>800</v>
      </c>
      <c r="C455" s="252" t="s">
        <v>190</v>
      </c>
      <c r="D455" s="252" t="s">
        <v>194</v>
      </c>
      <c r="E455" s="260" t="s">
        <v>486</v>
      </c>
      <c r="F455" s="252"/>
      <c r="G455" s="257" t="e">
        <v>#REF!</v>
      </c>
      <c r="H455" s="257" t="e">
        <v>#REF!</v>
      </c>
      <c r="I455" s="257" t="e">
        <v>#REF!</v>
      </c>
      <c r="J455" s="257" t="e">
        <f t="shared" ref="J455" si="377">J456+J457+J458+J459+J460</f>
        <v>#REF!</v>
      </c>
      <c r="K455" s="257" t="e">
        <f>L456+L457+L458+L459+L460</f>
        <v>#REF!</v>
      </c>
      <c r="L455" s="257" t="e">
        <f t="shared" ref="L455" si="378">L456+L457+L458+L459+L460</f>
        <v>#REF!</v>
      </c>
      <c r="M455" s="257" t="e">
        <f t="shared" ref="M455:N455" si="379">M456+M457+M458+M459+M460</f>
        <v>#REF!</v>
      </c>
      <c r="N455" s="257" t="e">
        <f t="shared" si="379"/>
        <v>#REF!</v>
      </c>
      <c r="O455" s="257" t="e">
        <f t="shared" ref="O455" si="380">O456+O457+O458+O459+O460</f>
        <v>#REF!</v>
      </c>
    </row>
    <row r="456" spans="1:15" ht="13.5" hidden="1" customHeight="1" x14ac:dyDescent="0.2">
      <c r="A456" s="259" t="s">
        <v>95</v>
      </c>
      <c r="B456" s="271">
        <v>800</v>
      </c>
      <c r="C456" s="252" t="s">
        <v>190</v>
      </c>
      <c r="D456" s="252" t="s">
        <v>194</v>
      </c>
      <c r="E456" s="260" t="s">
        <v>486</v>
      </c>
      <c r="F456" s="252" t="s">
        <v>96</v>
      </c>
      <c r="G456" s="257" t="e">
        <v>#REF!</v>
      </c>
      <c r="H456" s="257" t="e">
        <v>#REF!</v>
      </c>
      <c r="I456" s="257" t="e">
        <v>#REF!</v>
      </c>
      <c r="J456" s="257" t="e">
        <f>#REF!+H456</f>
        <v>#REF!</v>
      </c>
      <c r="K456" s="257" t="e">
        <f>#REF!+I456</f>
        <v>#REF!</v>
      </c>
      <c r="L456" s="257" t="e">
        <f>#REF!+J456</f>
        <v>#REF!</v>
      </c>
      <c r="M456" s="257" t="e">
        <f>#REF!+L456</f>
        <v>#REF!</v>
      </c>
      <c r="N456" s="257" t="e">
        <f>#REF!+L456</f>
        <v>#REF!</v>
      </c>
      <c r="O456" s="257" t="e">
        <f>#REF!+M456</f>
        <v>#REF!</v>
      </c>
    </row>
    <row r="457" spans="1:15" ht="13.5" hidden="1" customHeight="1" x14ac:dyDescent="0.2">
      <c r="A457" s="259" t="s">
        <v>97</v>
      </c>
      <c r="B457" s="271">
        <v>800</v>
      </c>
      <c r="C457" s="252" t="s">
        <v>190</v>
      </c>
      <c r="D457" s="252" t="s">
        <v>194</v>
      </c>
      <c r="E457" s="260" t="s">
        <v>486</v>
      </c>
      <c r="F457" s="271" t="s">
        <v>98</v>
      </c>
      <c r="G457" s="257" t="e">
        <v>#REF!</v>
      </c>
      <c r="H457" s="257" t="e">
        <v>#REF!</v>
      </c>
      <c r="I457" s="257" t="e">
        <v>#REF!</v>
      </c>
      <c r="J457" s="257" t="e">
        <f>#REF!+H457</f>
        <v>#REF!</v>
      </c>
      <c r="K457" s="257" t="e">
        <f>#REF!+I457</f>
        <v>#REF!</v>
      </c>
      <c r="L457" s="257" t="e">
        <f>#REF!+J457</f>
        <v>#REF!</v>
      </c>
      <c r="M457" s="257" t="e">
        <f>#REF!+L457</f>
        <v>#REF!</v>
      </c>
      <c r="N457" s="257" t="e">
        <f>#REF!+L457</f>
        <v>#REF!</v>
      </c>
      <c r="O457" s="257" t="e">
        <f>#REF!+M457</f>
        <v>#REF!</v>
      </c>
    </row>
    <row r="458" spans="1:15" ht="28.5" hidden="1" customHeight="1" x14ac:dyDescent="0.2">
      <c r="A458" s="259" t="s">
        <v>99</v>
      </c>
      <c r="B458" s="271">
        <v>800</v>
      </c>
      <c r="C458" s="252" t="s">
        <v>190</v>
      </c>
      <c r="D458" s="252" t="s">
        <v>194</v>
      </c>
      <c r="E458" s="260" t="s">
        <v>486</v>
      </c>
      <c r="F458" s="252" t="s">
        <v>100</v>
      </c>
      <c r="G458" s="257" t="e">
        <v>#REF!</v>
      </c>
      <c r="H458" s="257" t="e">
        <v>#REF!</v>
      </c>
      <c r="I458" s="257" t="e">
        <v>#REF!</v>
      </c>
      <c r="J458" s="257" t="e">
        <f>#REF!+H458</f>
        <v>#REF!</v>
      </c>
      <c r="K458" s="257" t="e">
        <f>#REF!+I458</f>
        <v>#REF!</v>
      </c>
      <c r="L458" s="257" t="e">
        <f>#REF!+J458</f>
        <v>#REF!</v>
      </c>
      <c r="M458" s="257" t="e">
        <f>#REF!+L458</f>
        <v>#REF!</v>
      </c>
      <c r="N458" s="257" t="e">
        <f>#REF!+L458</f>
        <v>#REF!</v>
      </c>
      <c r="O458" s="257" t="e">
        <f>#REF!+M458</f>
        <v>#REF!</v>
      </c>
    </row>
    <row r="459" spans="1:15" ht="23.25" hidden="1" customHeight="1" x14ac:dyDescent="0.2">
      <c r="A459" s="259" t="s">
        <v>93</v>
      </c>
      <c r="B459" s="271">
        <v>800</v>
      </c>
      <c r="C459" s="252" t="s">
        <v>190</v>
      </c>
      <c r="D459" s="252" t="s">
        <v>194</v>
      </c>
      <c r="E459" s="260" t="s">
        <v>486</v>
      </c>
      <c r="F459" s="252" t="s">
        <v>94</v>
      </c>
      <c r="G459" s="257" t="e">
        <v>#REF!</v>
      </c>
      <c r="H459" s="257" t="e">
        <v>#REF!</v>
      </c>
      <c r="I459" s="257" t="e">
        <v>#REF!</v>
      </c>
      <c r="J459" s="257" t="e">
        <f>#REF!+H459</f>
        <v>#REF!</v>
      </c>
      <c r="K459" s="257" t="e">
        <f>#REF!+I459</f>
        <v>#REF!</v>
      </c>
      <c r="L459" s="257" t="e">
        <f>#REF!+J459</f>
        <v>#REF!</v>
      </c>
      <c r="M459" s="257" t="e">
        <f>#REF!+L459</f>
        <v>#REF!</v>
      </c>
      <c r="N459" s="257" t="e">
        <f>#REF!+L459</f>
        <v>#REF!</v>
      </c>
      <c r="O459" s="257" t="e">
        <f>#REF!+M459</f>
        <v>#REF!</v>
      </c>
    </row>
    <row r="460" spans="1:15" ht="18.75" hidden="1" customHeight="1" x14ac:dyDescent="0.2">
      <c r="A460" s="259" t="s">
        <v>103</v>
      </c>
      <c r="B460" s="252">
        <v>800</v>
      </c>
      <c r="C460" s="252" t="s">
        <v>190</v>
      </c>
      <c r="D460" s="252" t="s">
        <v>194</v>
      </c>
      <c r="E460" s="252" t="s">
        <v>486</v>
      </c>
      <c r="F460" s="252" t="s">
        <v>104</v>
      </c>
      <c r="G460" s="257" t="e">
        <v>#REF!</v>
      </c>
      <c r="H460" s="257" t="e">
        <v>#REF!</v>
      </c>
      <c r="I460" s="257" t="e">
        <v>#REF!</v>
      </c>
      <c r="J460" s="257" t="e">
        <f>#REF!+H460</f>
        <v>#REF!</v>
      </c>
      <c r="K460" s="257" t="e">
        <f>#REF!+I460</f>
        <v>#REF!</v>
      </c>
      <c r="L460" s="257" t="e">
        <f>#REF!+J460</f>
        <v>#REF!</v>
      </c>
      <c r="M460" s="257" t="e">
        <f>#REF!+L460</f>
        <v>#REF!</v>
      </c>
      <c r="N460" s="257" t="e">
        <f>#REF!+L460</f>
        <v>#REF!</v>
      </c>
      <c r="O460" s="257" t="e">
        <f>#REF!+M460</f>
        <v>#REF!</v>
      </c>
    </row>
    <row r="461" spans="1:15" ht="26.25" customHeight="1" x14ac:dyDescent="0.2">
      <c r="A461" s="259" t="s">
        <v>452</v>
      </c>
      <c r="B461" s="252">
        <v>800</v>
      </c>
      <c r="C461" s="252" t="s">
        <v>190</v>
      </c>
      <c r="D461" s="252" t="s">
        <v>194</v>
      </c>
      <c r="E461" s="252" t="s">
        <v>866</v>
      </c>
      <c r="F461" s="252"/>
      <c r="G461" s="262">
        <v>1934</v>
      </c>
      <c r="H461" s="262">
        <v>50</v>
      </c>
      <c r="I461" s="262">
        <v>1934</v>
      </c>
      <c r="J461" s="262">
        <f t="shared" ref="J461:O461" si="381">J462</f>
        <v>56</v>
      </c>
      <c r="K461" s="262">
        <f>L462</f>
        <v>1990</v>
      </c>
      <c r="L461" s="262">
        <f t="shared" si="381"/>
        <v>1990</v>
      </c>
      <c r="M461" s="262">
        <f t="shared" si="381"/>
        <v>0</v>
      </c>
      <c r="N461" s="262">
        <f t="shared" si="381"/>
        <v>1990</v>
      </c>
      <c r="O461" s="262">
        <f t="shared" si="381"/>
        <v>1990</v>
      </c>
    </row>
    <row r="462" spans="1:15" ht="18.75" customHeight="1" x14ac:dyDescent="0.2">
      <c r="A462" s="259" t="s">
        <v>451</v>
      </c>
      <c r="B462" s="252">
        <v>800</v>
      </c>
      <c r="C462" s="252" t="s">
        <v>190</v>
      </c>
      <c r="D462" s="252" t="s">
        <v>194</v>
      </c>
      <c r="E462" s="252" t="s">
        <v>895</v>
      </c>
      <c r="F462" s="252"/>
      <c r="G462" s="257">
        <v>1934</v>
      </c>
      <c r="H462" s="257">
        <v>50</v>
      </c>
      <c r="I462" s="257">
        <v>1934</v>
      </c>
      <c r="J462" s="257">
        <f t="shared" ref="J462" si="382">J463+J464</f>
        <v>56</v>
      </c>
      <c r="K462" s="257">
        <f>L463+L464</f>
        <v>1990</v>
      </c>
      <c r="L462" s="257">
        <f t="shared" ref="L462" si="383">L463+L464</f>
        <v>1990</v>
      </c>
      <c r="M462" s="257">
        <f t="shared" ref="M462:N462" si="384">M463+M464</f>
        <v>0</v>
      </c>
      <c r="N462" s="257">
        <f t="shared" si="384"/>
        <v>1990</v>
      </c>
      <c r="O462" s="257">
        <f t="shared" ref="O462" si="385">O463+O464</f>
        <v>1990</v>
      </c>
    </row>
    <row r="463" spans="1:15" ht="18.75" customHeight="1" x14ac:dyDescent="0.2">
      <c r="A463" s="259" t="s">
        <v>95</v>
      </c>
      <c r="B463" s="252">
        <v>800</v>
      </c>
      <c r="C463" s="252" t="s">
        <v>190</v>
      </c>
      <c r="D463" s="252" t="s">
        <v>194</v>
      </c>
      <c r="E463" s="252" t="s">
        <v>895</v>
      </c>
      <c r="F463" s="252" t="s">
        <v>96</v>
      </c>
      <c r="G463" s="257">
        <v>1485</v>
      </c>
      <c r="H463" s="257">
        <v>39</v>
      </c>
      <c r="I463" s="257">
        <v>1485</v>
      </c>
      <c r="J463" s="257">
        <v>43</v>
      </c>
      <c r="K463" s="257">
        <f t="shared" ref="K463:K464" si="386">I463+J463</f>
        <v>1528</v>
      </c>
      <c r="L463" s="257">
        <v>1528</v>
      </c>
      <c r="M463" s="257">
        <v>0</v>
      </c>
      <c r="N463" s="257">
        <f>L463+M463</f>
        <v>1528</v>
      </c>
      <c r="O463" s="257">
        <v>1528</v>
      </c>
    </row>
    <row r="464" spans="1:15" ht="32.25" customHeight="1" x14ac:dyDescent="0.2">
      <c r="A464" s="375" t="s">
        <v>898</v>
      </c>
      <c r="B464" s="252">
        <v>800</v>
      </c>
      <c r="C464" s="252" t="s">
        <v>190</v>
      </c>
      <c r="D464" s="252" t="s">
        <v>194</v>
      </c>
      <c r="E464" s="252" t="s">
        <v>895</v>
      </c>
      <c r="F464" s="252" t="s">
        <v>896</v>
      </c>
      <c r="G464" s="257">
        <v>449</v>
      </c>
      <c r="H464" s="257">
        <v>11</v>
      </c>
      <c r="I464" s="257">
        <v>449</v>
      </c>
      <c r="J464" s="257">
        <v>13</v>
      </c>
      <c r="K464" s="257">
        <f t="shared" si="386"/>
        <v>462</v>
      </c>
      <c r="L464" s="257">
        <v>462</v>
      </c>
      <c r="M464" s="257">
        <v>0</v>
      </c>
      <c r="N464" s="257">
        <f>L464+M464</f>
        <v>462</v>
      </c>
      <c r="O464" s="257">
        <v>462</v>
      </c>
    </row>
    <row r="465" spans="1:15" ht="25.5" customHeight="1" x14ac:dyDescent="0.2">
      <c r="A465" s="259" t="s">
        <v>736</v>
      </c>
      <c r="B465" s="252">
        <v>800</v>
      </c>
      <c r="C465" s="252" t="s">
        <v>190</v>
      </c>
      <c r="D465" s="252" t="s">
        <v>194</v>
      </c>
      <c r="E465" s="252" t="s">
        <v>866</v>
      </c>
      <c r="F465" s="252"/>
      <c r="G465" s="262">
        <v>2437</v>
      </c>
      <c r="H465" s="262">
        <v>113</v>
      </c>
      <c r="I465" s="262">
        <v>2437</v>
      </c>
      <c r="J465" s="262">
        <f t="shared" ref="J465" si="387">J466+J467+J468+J469+J470+J471+J472+J473</f>
        <v>77</v>
      </c>
      <c r="K465" s="262">
        <f>L466+L467+L468+L469+L470+L471+L472+L473</f>
        <v>2514</v>
      </c>
      <c r="L465" s="262">
        <f t="shared" ref="L465" si="388">L466+L467+L468+L469+L470+L471+L472+L473</f>
        <v>2514</v>
      </c>
      <c r="M465" s="262">
        <f t="shared" ref="M465:N465" si="389">M466+M467+M468+M469+M470+M471+M472+M473</f>
        <v>216</v>
      </c>
      <c r="N465" s="262">
        <f t="shared" si="389"/>
        <v>2730</v>
      </c>
      <c r="O465" s="262">
        <f t="shared" ref="O465" si="390">O466+O467+O468+O469+O470+O471+O472+O473</f>
        <v>2730</v>
      </c>
    </row>
    <row r="466" spans="1:15" ht="18.75" customHeight="1" x14ac:dyDescent="0.2">
      <c r="A466" s="259" t="s">
        <v>95</v>
      </c>
      <c r="B466" s="252">
        <v>800</v>
      </c>
      <c r="C466" s="252" t="s">
        <v>190</v>
      </c>
      <c r="D466" s="252" t="s">
        <v>194</v>
      </c>
      <c r="E466" s="252" t="s">
        <v>866</v>
      </c>
      <c r="F466" s="252" t="s">
        <v>96</v>
      </c>
      <c r="G466" s="257">
        <v>1319</v>
      </c>
      <c r="H466" s="257">
        <v>87</v>
      </c>
      <c r="I466" s="257">
        <v>1319</v>
      </c>
      <c r="J466" s="257">
        <v>59</v>
      </c>
      <c r="K466" s="257">
        <f t="shared" ref="K466:L474" si="391">I466+J466</f>
        <v>1378</v>
      </c>
      <c r="L466" s="257">
        <v>1378</v>
      </c>
      <c r="M466" s="257">
        <v>0</v>
      </c>
      <c r="N466" s="257">
        <f t="shared" ref="N466:N474" si="392">L466+M466</f>
        <v>1378</v>
      </c>
      <c r="O466" s="257">
        <v>1378</v>
      </c>
    </row>
    <row r="467" spans="1:15" ht="18.75" customHeight="1" x14ac:dyDescent="0.2">
      <c r="A467" s="259" t="s">
        <v>97</v>
      </c>
      <c r="B467" s="252">
        <v>800</v>
      </c>
      <c r="C467" s="252" t="s">
        <v>190</v>
      </c>
      <c r="D467" s="252" t="s">
        <v>194</v>
      </c>
      <c r="E467" s="252" t="s">
        <v>866</v>
      </c>
      <c r="F467" s="252" t="s">
        <v>98</v>
      </c>
      <c r="G467" s="257">
        <v>30</v>
      </c>
      <c r="H467" s="257">
        <v>0</v>
      </c>
      <c r="I467" s="257">
        <v>30</v>
      </c>
      <c r="J467" s="257">
        <v>0</v>
      </c>
      <c r="K467" s="257">
        <f>I467+J467</f>
        <v>30</v>
      </c>
      <c r="L467" s="257">
        <v>30</v>
      </c>
      <c r="M467" s="257">
        <v>0</v>
      </c>
      <c r="N467" s="257">
        <f t="shared" si="392"/>
        <v>30</v>
      </c>
      <c r="O467" s="257">
        <v>30</v>
      </c>
    </row>
    <row r="468" spans="1:15" ht="35.25" customHeight="1" x14ac:dyDescent="0.2">
      <c r="A468" s="375" t="s">
        <v>904</v>
      </c>
      <c r="B468" s="252">
        <v>800</v>
      </c>
      <c r="C468" s="252" t="s">
        <v>190</v>
      </c>
      <c r="D468" s="252" t="s">
        <v>194</v>
      </c>
      <c r="E468" s="252" t="s">
        <v>866</v>
      </c>
      <c r="F468" s="252" t="s">
        <v>903</v>
      </c>
      <c r="G468" s="257">
        <v>432</v>
      </c>
      <c r="H468" s="257">
        <v>0</v>
      </c>
      <c r="I468" s="257">
        <v>432</v>
      </c>
      <c r="J468" s="257">
        <v>0</v>
      </c>
      <c r="K468" s="257">
        <f t="shared" si="391"/>
        <v>432</v>
      </c>
      <c r="L468" s="257">
        <v>432</v>
      </c>
      <c r="M468" s="257">
        <v>216</v>
      </c>
      <c r="N468" s="257">
        <f t="shared" si="392"/>
        <v>648</v>
      </c>
      <c r="O468" s="257">
        <v>648</v>
      </c>
    </row>
    <row r="469" spans="1:15" ht="35.25" customHeight="1" x14ac:dyDescent="0.2">
      <c r="A469" s="375" t="s">
        <v>898</v>
      </c>
      <c r="B469" s="252">
        <v>800</v>
      </c>
      <c r="C469" s="252" t="s">
        <v>190</v>
      </c>
      <c r="D469" s="252" t="s">
        <v>194</v>
      </c>
      <c r="E469" s="252" t="s">
        <v>866</v>
      </c>
      <c r="F469" s="252" t="s">
        <v>896</v>
      </c>
      <c r="G469" s="257">
        <v>399</v>
      </c>
      <c r="H469" s="257">
        <v>26</v>
      </c>
      <c r="I469" s="257">
        <v>399</v>
      </c>
      <c r="J469" s="257">
        <v>18</v>
      </c>
      <c r="K469" s="257">
        <f t="shared" si="391"/>
        <v>417</v>
      </c>
      <c r="L469" s="257">
        <v>417</v>
      </c>
      <c r="M469" s="257">
        <v>0</v>
      </c>
      <c r="N469" s="257">
        <f t="shared" si="392"/>
        <v>417</v>
      </c>
      <c r="O469" s="257">
        <v>417</v>
      </c>
    </row>
    <row r="470" spans="1:15" ht="18.75" hidden="1" customHeight="1" x14ac:dyDescent="0.2">
      <c r="A470" s="259" t="s">
        <v>99</v>
      </c>
      <c r="B470" s="252">
        <v>800</v>
      </c>
      <c r="C470" s="252" t="s">
        <v>190</v>
      </c>
      <c r="D470" s="252" t="s">
        <v>194</v>
      </c>
      <c r="E470" s="252" t="s">
        <v>866</v>
      </c>
      <c r="F470" s="252" t="s">
        <v>100</v>
      </c>
      <c r="G470" s="257">
        <v>27</v>
      </c>
      <c r="H470" s="257">
        <v>0</v>
      </c>
      <c r="I470" s="257">
        <v>27</v>
      </c>
      <c r="J470" s="257">
        <v>-27</v>
      </c>
      <c r="K470" s="257">
        <f t="shared" si="391"/>
        <v>0</v>
      </c>
      <c r="L470" s="257">
        <v>0</v>
      </c>
      <c r="M470" s="257">
        <v>0</v>
      </c>
      <c r="N470" s="257">
        <f t="shared" si="392"/>
        <v>0</v>
      </c>
      <c r="O470" s="257">
        <v>0</v>
      </c>
    </row>
    <row r="471" spans="1:15" ht="18.75" customHeight="1" x14ac:dyDescent="0.2">
      <c r="A471" s="259" t="s">
        <v>93</v>
      </c>
      <c r="B471" s="252">
        <v>800</v>
      </c>
      <c r="C471" s="252" t="s">
        <v>190</v>
      </c>
      <c r="D471" s="252" t="s">
        <v>194</v>
      </c>
      <c r="E471" s="252" t="s">
        <v>866</v>
      </c>
      <c r="F471" s="252" t="s">
        <v>94</v>
      </c>
      <c r="G471" s="257">
        <v>230</v>
      </c>
      <c r="H471" s="257">
        <v>0</v>
      </c>
      <c r="I471" s="257">
        <v>230</v>
      </c>
      <c r="J471" s="257">
        <v>27</v>
      </c>
      <c r="K471" s="257">
        <f t="shared" si="391"/>
        <v>257</v>
      </c>
      <c r="L471" s="257">
        <v>257</v>
      </c>
      <c r="M471" s="257">
        <v>0</v>
      </c>
      <c r="N471" s="257">
        <f t="shared" si="392"/>
        <v>257</v>
      </c>
      <c r="O471" s="257">
        <v>257</v>
      </c>
    </row>
    <row r="472" spans="1:15" ht="18.75" hidden="1" customHeight="1" x14ac:dyDescent="0.2">
      <c r="A472" s="259" t="s">
        <v>103</v>
      </c>
      <c r="B472" s="252">
        <v>800</v>
      </c>
      <c r="C472" s="252" t="s">
        <v>190</v>
      </c>
      <c r="D472" s="252" t="s">
        <v>194</v>
      </c>
      <c r="E472" s="252" t="s">
        <v>866</v>
      </c>
      <c r="F472" s="252" t="s">
        <v>104</v>
      </c>
      <c r="G472" s="257">
        <v>0</v>
      </c>
      <c r="H472" s="257">
        <v>0</v>
      </c>
      <c r="I472" s="257">
        <v>0</v>
      </c>
      <c r="J472" s="257">
        <v>0</v>
      </c>
      <c r="K472" s="257">
        <f t="shared" si="391"/>
        <v>0</v>
      </c>
      <c r="L472" s="257">
        <f t="shared" si="391"/>
        <v>0</v>
      </c>
      <c r="M472" s="257">
        <v>0</v>
      </c>
      <c r="N472" s="257">
        <f t="shared" si="392"/>
        <v>0</v>
      </c>
      <c r="O472" s="257">
        <f t="shared" ref="O472:O474" si="393">M472+N472</f>
        <v>0</v>
      </c>
    </row>
    <row r="473" spans="1:15" ht="18.75" hidden="1" customHeight="1" x14ac:dyDescent="0.2">
      <c r="A473" s="259" t="s">
        <v>400</v>
      </c>
      <c r="B473" s="252">
        <v>800</v>
      </c>
      <c r="C473" s="252" t="s">
        <v>190</v>
      </c>
      <c r="D473" s="252" t="s">
        <v>194</v>
      </c>
      <c r="E473" s="252" t="s">
        <v>866</v>
      </c>
      <c r="F473" s="252" t="s">
        <v>106</v>
      </c>
      <c r="G473" s="257">
        <v>0</v>
      </c>
      <c r="H473" s="257">
        <v>0</v>
      </c>
      <c r="I473" s="257">
        <v>0</v>
      </c>
      <c r="J473" s="257">
        <f t="shared" ref="J473:J474" si="394">H473+I473</f>
        <v>0</v>
      </c>
      <c r="K473" s="257">
        <f t="shared" si="391"/>
        <v>0</v>
      </c>
      <c r="L473" s="257">
        <f t="shared" si="391"/>
        <v>0</v>
      </c>
      <c r="M473" s="257">
        <f>L473+L473</f>
        <v>0</v>
      </c>
      <c r="N473" s="257">
        <f t="shared" si="392"/>
        <v>0</v>
      </c>
      <c r="O473" s="257">
        <f t="shared" si="393"/>
        <v>0</v>
      </c>
    </row>
    <row r="474" spans="1:15" ht="18.75" hidden="1" customHeight="1" x14ac:dyDescent="0.2">
      <c r="A474" s="259" t="s">
        <v>906</v>
      </c>
      <c r="B474" s="252">
        <v>800</v>
      </c>
      <c r="C474" s="252" t="s">
        <v>190</v>
      </c>
      <c r="D474" s="252" t="s">
        <v>194</v>
      </c>
      <c r="E474" s="252" t="s">
        <v>866</v>
      </c>
      <c r="F474" s="252" t="s">
        <v>905</v>
      </c>
      <c r="G474" s="257">
        <v>0</v>
      </c>
      <c r="H474" s="257">
        <v>0</v>
      </c>
      <c r="I474" s="257">
        <v>0</v>
      </c>
      <c r="J474" s="257">
        <f t="shared" si="394"/>
        <v>0</v>
      </c>
      <c r="K474" s="257">
        <f t="shared" si="391"/>
        <v>0</v>
      </c>
      <c r="L474" s="257">
        <f t="shared" si="391"/>
        <v>0</v>
      </c>
      <c r="M474" s="257">
        <f>L474+L474</f>
        <v>0</v>
      </c>
      <c r="N474" s="257">
        <f t="shared" si="392"/>
        <v>0</v>
      </c>
      <c r="O474" s="257">
        <f t="shared" si="393"/>
        <v>0</v>
      </c>
    </row>
    <row r="475" spans="1:15" s="430" customFormat="1" ht="30.75" customHeight="1" x14ac:dyDescent="0.2">
      <c r="A475" s="462" t="s">
        <v>199</v>
      </c>
      <c r="B475" s="250" t="s">
        <v>698</v>
      </c>
      <c r="C475" s="250" t="s">
        <v>190</v>
      </c>
      <c r="D475" s="250" t="s">
        <v>200</v>
      </c>
      <c r="E475" s="250"/>
      <c r="F475" s="250"/>
      <c r="G475" s="275">
        <v>1804</v>
      </c>
      <c r="H475" s="275">
        <v>396</v>
      </c>
      <c r="I475" s="275">
        <v>1804</v>
      </c>
      <c r="J475" s="275">
        <f t="shared" ref="J475" si="395">J482</f>
        <v>260</v>
      </c>
      <c r="K475" s="275">
        <f>L482</f>
        <v>2064</v>
      </c>
      <c r="L475" s="275">
        <f t="shared" ref="L475" si="396">L482</f>
        <v>2064</v>
      </c>
      <c r="M475" s="275">
        <f t="shared" ref="M475:N475" si="397">M482</f>
        <v>188</v>
      </c>
      <c r="N475" s="275">
        <f t="shared" si="397"/>
        <v>2252</v>
      </c>
      <c r="O475" s="275">
        <f t="shared" ref="O475" si="398">O482</f>
        <v>2234</v>
      </c>
    </row>
    <row r="476" spans="1:15" ht="21" hidden="1" customHeight="1" x14ac:dyDescent="0.2">
      <c r="A476" s="259" t="s">
        <v>451</v>
      </c>
      <c r="B476" s="271">
        <v>800</v>
      </c>
      <c r="C476" s="252" t="s">
        <v>190</v>
      </c>
      <c r="D476" s="252" t="s">
        <v>200</v>
      </c>
      <c r="E476" s="260" t="s">
        <v>485</v>
      </c>
      <c r="F476" s="252"/>
      <c r="G476" s="257" t="e">
        <v>#REF!</v>
      </c>
      <c r="H476" s="257" t="e">
        <v>#REF!</v>
      </c>
      <c r="I476" s="257" t="e">
        <v>#REF!</v>
      </c>
      <c r="J476" s="257" t="e">
        <f t="shared" ref="J476" si="399">J477+J478+J479+J480+J481</f>
        <v>#REF!</v>
      </c>
      <c r="K476" s="257" t="e">
        <f>L477+L478+L479+L480+L481</f>
        <v>#REF!</v>
      </c>
      <c r="L476" s="257" t="e">
        <f t="shared" ref="L476" si="400">L477+L478+L479+L480+L481</f>
        <v>#REF!</v>
      </c>
      <c r="M476" s="257" t="e">
        <f t="shared" ref="M476:N476" si="401">M477+M478+M479+M480+M481</f>
        <v>#REF!</v>
      </c>
      <c r="N476" s="257" t="e">
        <f t="shared" si="401"/>
        <v>#REF!</v>
      </c>
      <c r="O476" s="257" t="e">
        <f t="shared" ref="O476" si="402">O477+O478+O479+O480+O481</f>
        <v>#REF!</v>
      </c>
    </row>
    <row r="477" spans="1:15" ht="13.5" hidden="1" customHeight="1" x14ac:dyDescent="0.2">
      <c r="A477" s="259" t="s">
        <v>95</v>
      </c>
      <c r="B477" s="271">
        <v>800</v>
      </c>
      <c r="C477" s="252" t="s">
        <v>190</v>
      </c>
      <c r="D477" s="252" t="s">
        <v>200</v>
      </c>
      <c r="E477" s="260" t="s">
        <v>485</v>
      </c>
      <c r="F477" s="252" t="s">
        <v>96</v>
      </c>
      <c r="G477" s="257" t="e">
        <v>#REF!</v>
      </c>
      <c r="H477" s="257" t="e">
        <v>#REF!</v>
      </c>
      <c r="I477" s="257" t="e">
        <v>#REF!</v>
      </c>
      <c r="J477" s="257" t="e">
        <f>#REF!+H477</f>
        <v>#REF!</v>
      </c>
      <c r="K477" s="257" t="e">
        <f>#REF!+I477</f>
        <v>#REF!</v>
      </c>
      <c r="L477" s="257" t="e">
        <f>#REF!+J477</f>
        <v>#REF!</v>
      </c>
      <c r="M477" s="257" t="e">
        <f>#REF!+L477</f>
        <v>#REF!</v>
      </c>
      <c r="N477" s="257" t="e">
        <f>#REF!+L477</f>
        <v>#REF!</v>
      </c>
      <c r="O477" s="257" t="e">
        <f>#REF!+M477</f>
        <v>#REF!</v>
      </c>
    </row>
    <row r="478" spans="1:15" ht="13.5" hidden="1" customHeight="1" x14ac:dyDescent="0.2">
      <c r="A478" s="259" t="s">
        <v>97</v>
      </c>
      <c r="B478" s="271">
        <v>800</v>
      </c>
      <c r="C478" s="252" t="s">
        <v>190</v>
      </c>
      <c r="D478" s="252" t="s">
        <v>200</v>
      </c>
      <c r="E478" s="260" t="s">
        <v>485</v>
      </c>
      <c r="F478" s="271" t="s">
        <v>98</v>
      </c>
      <c r="G478" s="257" t="e">
        <v>#REF!</v>
      </c>
      <c r="H478" s="257" t="e">
        <v>#REF!</v>
      </c>
      <c r="I478" s="257" t="e">
        <v>#REF!</v>
      </c>
      <c r="J478" s="257" t="e">
        <f>#REF!+H478</f>
        <v>#REF!</v>
      </c>
      <c r="K478" s="257" t="e">
        <f>#REF!+I478</f>
        <v>#REF!</v>
      </c>
      <c r="L478" s="257" t="e">
        <f>#REF!+J478</f>
        <v>#REF!</v>
      </c>
      <c r="M478" s="257" t="e">
        <f>#REF!+L478</f>
        <v>#REF!</v>
      </c>
      <c r="N478" s="257" t="e">
        <f>#REF!+L478</f>
        <v>#REF!</v>
      </c>
      <c r="O478" s="257" t="e">
        <f>#REF!+M478</f>
        <v>#REF!</v>
      </c>
    </row>
    <row r="479" spans="1:15" ht="27" hidden="1" customHeight="1" x14ac:dyDescent="0.2">
      <c r="A479" s="259" t="s">
        <v>99</v>
      </c>
      <c r="B479" s="271">
        <v>800</v>
      </c>
      <c r="C479" s="252" t="s">
        <v>190</v>
      </c>
      <c r="D479" s="252" t="s">
        <v>200</v>
      </c>
      <c r="E479" s="260" t="s">
        <v>485</v>
      </c>
      <c r="F479" s="252" t="s">
        <v>100</v>
      </c>
      <c r="G479" s="257" t="e">
        <v>#REF!</v>
      </c>
      <c r="H479" s="257" t="e">
        <v>#REF!</v>
      </c>
      <c r="I479" s="257" t="e">
        <v>#REF!</v>
      </c>
      <c r="J479" s="257" t="e">
        <f>#REF!+H479</f>
        <v>#REF!</v>
      </c>
      <c r="K479" s="257" t="e">
        <f>#REF!+I479</f>
        <v>#REF!</v>
      </c>
      <c r="L479" s="257" t="e">
        <f>#REF!+J479</f>
        <v>#REF!</v>
      </c>
      <c r="M479" s="257" t="e">
        <f>#REF!+L479</f>
        <v>#REF!</v>
      </c>
      <c r="N479" s="257" t="e">
        <f>#REF!+L479</f>
        <v>#REF!</v>
      </c>
      <c r="O479" s="257" t="e">
        <f>#REF!+M479</f>
        <v>#REF!</v>
      </c>
    </row>
    <row r="480" spans="1:15" ht="20.25" hidden="1" customHeight="1" x14ac:dyDescent="0.2">
      <c r="A480" s="259" t="s">
        <v>93</v>
      </c>
      <c r="B480" s="271">
        <v>800</v>
      </c>
      <c r="C480" s="252" t="s">
        <v>190</v>
      </c>
      <c r="D480" s="252" t="s">
        <v>200</v>
      </c>
      <c r="E480" s="260" t="s">
        <v>485</v>
      </c>
      <c r="F480" s="252" t="s">
        <v>94</v>
      </c>
      <c r="G480" s="257" t="e">
        <v>#REF!</v>
      </c>
      <c r="H480" s="257" t="e">
        <v>#REF!</v>
      </c>
      <c r="I480" s="257" t="e">
        <v>#REF!</v>
      </c>
      <c r="J480" s="257" t="e">
        <f>#REF!+H480</f>
        <v>#REF!</v>
      </c>
      <c r="K480" s="257" t="e">
        <f>#REF!+I480</f>
        <v>#REF!</v>
      </c>
      <c r="L480" s="257" t="e">
        <f>#REF!+J480</f>
        <v>#REF!</v>
      </c>
      <c r="M480" s="257" t="e">
        <f>#REF!+L480</f>
        <v>#REF!</v>
      </c>
      <c r="N480" s="257" t="e">
        <f>#REF!+L480</f>
        <v>#REF!</v>
      </c>
      <c r="O480" s="257" t="e">
        <f>#REF!+M480</f>
        <v>#REF!</v>
      </c>
    </row>
    <row r="481" spans="1:15" ht="13.5" hidden="1" customHeight="1" x14ac:dyDescent="0.2">
      <c r="A481" s="259" t="s">
        <v>103</v>
      </c>
      <c r="B481" s="252">
        <v>800</v>
      </c>
      <c r="C481" s="252" t="s">
        <v>190</v>
      </c>
      <c r="D481" s="252" t="s">
        <v>200</v>
      </c>
      <c r="E481" s="260" t="s">
        <v>485</v>
      </c>
      <c r="F481" s="252" t="s">
        <v>104</v>
      </c>
      <c r="G481" s="257">
        <v>0</v>
      </c>
      <c r="H481" s="257">
        <v>0</v>
      </c>
      <c r="I481" s="257">
        <v>0</v>
      </c>
      <c r="J481" s="257" t="e">
        <f>#REF!+H481</f>
        <v>#REF!</v>
      </c>
      <c r="K481" s="257">
        <f t="shared" ref="K481" si="403">G481+I481</f>
        <v>0</v>
      </c>
      <c r="L481" s="257" t="e">
        <f>I481+J481</f>
        <v>#REF!</v>
      </c>
      <c r="M481" s="257" t="e">
        <f>I481+L481</f>
        <v>#REF!</v>
      </c>
      <c r="N481" s="257" t="e">
        <f>J481+L481</f>
        <v>#REF!</v>
      </c>
      <c r="O481" s="257" t="e">
        <f>L481+M481</f>
        <v>#REF!</v>
      </c>
    </row>
    <row r="482" spans="1:15" ht="19.5" customHeight="1" x14ac:dyDescent="0.2">
      <c r="A482" s="259" t="s">
        <v>451</v>
      </c>
      <c r="B482" s="252">
        <v>800</v>
      </c>
      <c r="C482" s="252" t="s">
        <v>190</v>
      </c>
      <c r="D482" s="252" t="s">
        <v>200</v>
      </c>
      <c r="E482" s="260" t="s">
        <v>866</v>
      </c>
      <c r="F482" s="252"/>
      <c r="G482" s="262">
        <v>1804</v>
      </c>
      <c r="H482" s="262">
        <v>396</v>
      </c>
      <c r="I482" s="262">
        <v>1804</v>
      </c>
      <c r="J482" s="262">
        <f t="shared" ref="J482" si="404">J483+J484+J485+J486+J487</f>
        <v>260</v>
      </c>
      <c r="K482" s="262">
        <f>L483+L484+L485+L486+L487</f>
        <v>2064</v>
      </c>
      <c r="L482" s="262">
        <f t="shared" ref="L482" si="405">L483+L484+L485+L486+L487</f>
        <v>2064</v>
      </c>
      <c r="M482" s="262">
        <f t="shared" ref="M482:N482" si="406">M483+M484+M485+M486+M487</f>
        <v>188</v>
      </c>
      <c r="N482" s="262">
        <f t="shared" si="406"/>
        <v>2252</v>
      </c>
      <c r="O482" s="262">
        <f t="shared" ref="O482" si="407">O483+O484+O485+O486+O487</f>
        <v>2234</v>
      </c>
    </row>
    <row r="483" spans="1:15" ht="13.5" customHeight="1" x14ac:dyDescent="0.2">
      <c r="A483" s="259" t="s">
        <v>95</v>
      </c>
      <c r="B483" s="252">
        <v>800</v>
      </c>
      <c r="C483" s="252" t="s">
        <v>190</v>
      </c>
      <c r="D483" s="252" t="s">
        <v>200</v>
      </c>
      <c r="E483" s="260" t="s">
        <v>866</v>
      </c>
      <c r="F483" s="252" t="s">
        <v>96</v>
      </c>
      <c r="G483" s="257">
        <v>1347</v>
      </c>
      <c r="H483" s="257">
        <v>192</v>
      </c>
      <c r="I483" s="257">
        <v>1347</v>
      </c>
      <c r="J483" s="257">
        <v>200</v>
      </c>
      <c r="K483" s="257">
        <f t="shared" ref="K483:K487" si="408">I483+J483</f>
        <v>1547</v>
      </c>
      <c r="L483" s="257">
        <v>1547</v>
      </c>
      <c r="M483" s="257">
        <v>0</v>
      </c>
      <c r="N483" s="257">
        <f>L483+M483</f>
        <v>1547</v>
      </c>
      <c r="O483" s="257">
        <v>1547</v>
      </c>
    </row>
    <row r="484" spans="1:15" ht="31.5" customHeight="1" x14ac:dyDescent="0.2">
      <c r="A484" s="375" t="s">
        <v>898</v>
      </c>
      <c r="B484" s="252">
        <v>800</v>
      </c>
      <c r="C484" s="252" t="s">
        <v>190</v>
      </c>
      <c r="D484" s="252" t="s">
        <v>200</v>
      </c>
      <c r="E484" s="260" t="s">
        <v>866</v>
      </c>
      <c r="F484" s="252" t="s">
        <v>896</v>
      </c>
      <c r="G484" s="257">
        <v>407</v>
      </c>
      <c r="H484" s="257">
        <v>58</v>
      </c>
      <c r="I484" s="257">
        <v>407</v>
      </c>
      <c r="J484" s="257">
        <v>60</v>
      </c>
      <c r="K484" s="257">
        <f t="shared" si="408"/>
        <v>467</v>
      </c>
      <c r="L484" s="257">
        <v>467</v>
      </c>
      <c r="M484" s="257">
        <v>0</v>
      </c>
      <c r="N484" s="257">
        <f>L484+M484</f>
        <v>467</v>
      </c>
      <c r="O484" s="257">
        <v>467</v>
      </c>
    </row>
    <row r="485" spans="1:15" ht="17.25" customHeight="1" x14ac:dyDescent="0.2">
      <c r="A485" s="259" t="s">
        <v>97</v>
      </c>
      <c r="B485" s="252">
        <v>800</v>
      </c>
      <c r="C485" s="252" t="s">
        <v>190</v>
      </c>
      <c r="D485" s="252" t="s">
        <v>200</v>
      </c>
      <c r="E485" s="260" t="s">
        <v>866</v>
      </c>
      <c r="F485" s="252" t="s">
        <v>98</v>
      </c>
      <c r="G485" s="257">
        <v>20</v>
      </c>
      <c r="H485" s="257">
        <v>0</v>
      </c>
      <c r="I485" s="257">
        <v>20</v>
      </c>
      <c r="J485" s="257">
        <v>0</v>
      </c>
      <c r="K485" s="257">
        <f t="shared" si="408"/>
        <v>20</v>
      </c>
      <c r="L485" s="257">
        <v>20</v>
      </c>
      <c r="M485" s="257">
        <v>0</v>
      </c>
      <c r="N485" s="257">
        <f>L485+M485</f>
        <v>20</v>
      </c>
      <c r="O485" s="257">
        <v>20</v>
      </c>
    </row>
    <row r="486" spans="1:15" ht="17.25" hidden="1" customHeight="1" x14ac:dyDescent="0.2">
      <c r="A486" s="259" t="s">
        <v>99</v>
      </c>
      <c r="B486" s="252">
        <v>800</v>
      </c>
      <c r="C486" s="252" t="s">
        <v>190</v>
      </c>
      <c r="D486" s="252" t="s">
        <v>200</v>
      </c>
      <c r="E486" s="260" t="s">
        <v>866</v>
      </c>
      <c r="F486" s="252" t="s">
        <v>100</v>
      </c>
      <c r="G486" s="257">
        <v>0</v>
      </c>
      <c r="H486" s="257">
        <v>16</v>
      </c>
      <c r="I486" s="257">
        <v>0</v>
      </c>
      <c r="J486" s="257">
        <v>0</v>
      </c>
      <c r="K486" s="257">
        <f t="shared" si="408"/>
        <v>0</v>
      </c>
      <c r="L486" s="257">
        <v>0</v>
      </c>
      <c r="M486" s="257">
        <v>0</v>
      </c>
      <c r="N486" s="257">
        <f>L486+M486</f>
        <v>0</v>
      </c>
      <c r="O486" s="257">
        <v>0</v>
      </c>
    </row>
    <row r="487" spans="1:15" ht="21.75" customHeight="1" x14ac:dyDescent="0.2">
      <c r="A487" s="259" t="s">
        <v>93</v>
      </c>
      <c r="B487" s="252">
        <v>800</v>
      </c>
      <c r="C487" s="252" t="s">
        <v>190</v>
      </c>
      <c r="D487" s="252" t="s">
        <v>200</v>
      </c>
      <c r="E487" s="260" t="s">
        <v>866</v>
      </c>
      <c r="F487" s="252" t="s">
        <v>94</v>
      </c>
      <c r="G487" s="257">
        <v>30</v>
      </c>
      <c r="H487" s="257">
        <v>130</v>
      </c>
      <c r="I487" s="257">
        <v>30</v>
      </c>
      <c r="J487" s="257">
        <v>0</v>
      </c>
      <c r="K487" s="257">
        <f t="shared" si="408"/>
        <v>30</v>
      </c>
      <c r="L487" s="257">
        <v>30</v>
      </c>
      <c r="M487" s="257">
        <v>188</v>
      </c>
      <c r="N487" s="257">
        <f>L487+M487</f>
        <v>218</v>
      </c>
      <c r="O487" s="257">
        <v>200</v>
      </c>
    </row>
    <row r="488" spans="1:15" s="428" customFormat="1" ht="15.75" x14ac:dyDescent="0.2">
      <c r="A488" s="555" t="s">
        <v>311</v>
      </c>
      <c r="B488" s="554"/>
      <c r="C488" s="554"/>
      <c r="D488" s="554"/>
      <c r="E488" s="554"/>
      <c r="F488" s="554"/>
      <c r="G488" s="447" t="e">
        <v>#REF!</v>
      </c>
      <c r="H488" s="447">
        <v>-5436.3199999999943</v>
      </c>
      <c r="I488" s="447">
        <v>175522.739</v>
      </c>
      <c r="J488" s="447" t="e">
        <f>J489+J634+J697+J762+J817+J822+J840</f>
        <v>#REF!</v>
      </c>
      <c r="K488" s="447">
        <f>L489+L634+L697+L762+L817+L822+L840</f>
        <v>109518.70599999999</v>
      </c>
      <c r="L488" s="447">
        <f>L489+L634+L697+L762+L817+L822+L840</f>
        <v>109518.70599999999</v>
      </c>
      <c r="M488" s="447">
        <f>M489+M634+M697+M762+M817+M822+M840</f>
        <v>13337.649999999998</v>
      </c>
      <c r="N488" s="447">
        <f>N489+N634+N697+N762+N817+N822+N840</f>
        <v>122856.35599999996</v>
      </c>
      <c r="O488" s="447">
        <f>O489+O634+O697+O762+O817+O822+O840</f>
        <v>125218.84999999999</v>
      </c>
    </row>
    <row r="489" spans="1:15" s="430" customFormat="1" ht="14.25" x14ac:dyDescent="0.2">
      <c r="A489" s="462" t="s">
        <v>72</v>
      </c>
      <c r="B489" s="249">
        <v>801</v>
      </c>
      <c r="C489" s="249" t="s">
        <v>312</v>
      </c>
      <c r="D489" s="249"/>
      <c r="E489" s="249"/>
      <c r="F489" s="249"/>
      <c r="G489" s="261">
        <v>49272.310000000005</v>
      </c>
      <c r="H489" s="261">
        <v>-4020.8999999999974</v>
      </c>
      <c r="I489" s="261">
        <v>42934.9</v>
      </c>
      <c r="J489" s="261" t="e">
        <f>J490+J501+J569+J574+J562</f>
        <v>#REF!</v>
      </c>
      <c r="K489" s="261">
        <f>L490+L501+L569+L574+L562</f>
        <v>43063.265999999967</v>
      </c>
      <c r="L489" s="261">
        <f>L490+L501+L562+L569+L574</f>
        <v>43063.265999999974</v>
      </c>
      <c r="M489" s="261">
        <f>M490+M501+M562+M569+M574</f>
        <v>329.63999999999993</v>
      </c>
      <c r="N489" s="261">
        <f>N490+N501+N562+N569+N574</f>
        <v>43392.905999999966</v>
      </c>
      <c r="O489" s="261">
        <f>O490+O501+O562+O569+O574</f>
        <v>43231.11</v>
      </c>
    </row>
    <row r="490" spans="1:15" ht="30" customHeight="1" x14ac:dyDescent="0.2">
      <c r="A490" s="462" t="s">
        <v>191</v>
      </c>
      <c r="B490" s="249">
        <v>801</v>
      </c>
      <c r="C490" s="249" t="s">
        <v>312</v>
      </c>
      <c r="D490" s="250" t="s">
        <v>192</v>
      </c>
      <c r="E490" s="249"/>
      <c r="F490" s="249"/>
      <c r="G490" s="275">
        <v>2966</v>
      </c>
      <c r="H490" s="275">
        <v>-954.4</v>
      </c>
      <c r="I490" s="275">
        <v>2332</v>
      </c>
      <c r="J490" s="275">
        <f>J496</f>
        <v>-249</v>
      </c>
      <c r="K490" s="275">
        <f>L496</f>
        <v>2083</v>
      </c>
      <c r="L490" s="275">
        <f t="shared" ref="L490" si="409">L496</f>
        <v>2083</v>
      </c>
      <c r="M490" s="275">
        <f>M496</f>
        <v>0</v>
      </c>
      <c r="N490" s="275">
        <f t="shared" ref="N490:O490" si="410">N496</f>
        <v>2083</v>
      </c>
      <c r="O490" s="275">
        <f t="shared" si="410"/>
        <v>2083</v>
      </c>
    </row>
    <row r="491" spans="1:15" ht="27" hidden="1" customHeight="1" x14ac:dyDescent="0.2">
      <c r="A491" s="259" t="s">
        <v>123</v>
      </c>
      <c r="B491" s="271">
        <v>801</v>
      </c>
      <c r="C491" s="271" t="s">
        <v>312</v>
      </c>
      <c r="D491" s="252" t="s">
        <v>192</v>
      </c>
      <c r="E491" s="260" t="s">
        <v>332</v>
      </c>
      <c r="F491" s="271"/>
      <c r="G491" s="257">
        <v>-16259.2</v>
      </c>
      <c r="H491" s="257">
        <v>-26421.200000000001</v>
      </c>
      <c r="I491" s="257">
        <v>-26421.200000000001</v>
      </c>
      <c r="J491" s="257" t="e">
        <f t="shared" ref="J491:M492" si="411">J492</f>
        <v>#REF!</v>
      </c>
      <c r="K491" s="257" t="e">
        <f>L492</f>
        <v>#REF!</v>
      </c>
      <c r="L491" s="257" t="e">
        <f t="shared" ref="L491:O492" si="412">L492</f>
        <v>#REF!</v>
      </c>
      <c r="M491" s="257" t="e">
        <f t="shared" si="411"/>
        <v>#REF!</v>
      </c>
      <c r="N491" s="257" t="e">
        <f t="shared" si="412"/>
        <v>#REF!</v>
      </c>
      <c r="O491" s="257" t="e">
        <f t="shared" si="412"/>
        <v>#REF!</v>
      </c>
    </row>
    <row r="492" spans="1:15" hidden="1" x14ac:dyDescent="0.2">
      <c r="A492" s="259" t="s">
        <v>313</v>
      </c>
      <c r="B492" s="271">
        <v>801</v>
      </c>
      <c r="C492" s="271" t="s">
        <v>312</v>
      </c>
      <c r="D492" s="252" t="s">
        <v>192</v>
      </c>
      <c r="E492" s="260" t="s">
        <v>314</v>
      </c>
      <c r="F492" s="271"/>
      <c r="G492" s="257">
        <v>-16259.2</v>
      </c>
      <c r="H492" s="257">
        <v>-26421.200000000001</v>
      </c>
      <c r="I492" s="257">
        <v>-26421.200000000001</v>
      </c>
      <c r="J492" s="257" t="e">
        <f t="shared" si="411"/>
        <v>#REF!</v>
      </c>
      <c r="K492" s="257" t="e">
        <f>L493</f>
        <v>#REF!</v>
      </c>
      <c r="L492" s="257" t="e">
        <f t="shared" si="412"/>
        <v>#REF!</v>
      </c>
      <c r="M492" s="257" t="e">
        <f t="shared" si="412"/>
        <v>#REF!</v>
      </c>
      <c r="N492" s="257" t="e">
        <f t="shared" si="412"/>
        <v>#REF!</v>
      </c>
      <c r="O492" s="257" t="e">
        <f t="shared" si="412"/>
        <v>#REF!</v>
      </c>
    </row>
    <row r="493" spans="1:15" hidden="1" x14ac:dyDescent="0.2">
      <c r="A493" s="259" t="s">
        <v>95</v>
      </c>
      <c r="B493" s="271">
        <v>801</v>
      </c>
      <c r="C493" s="271" t="s">
        <v>312</v>
      </c>
      <c r="D493" s="252" t="s">
        <v>192</v>
      </c>
      <c r="E493" s="260" t="s">
        <v>314</v>
      </c>
      <c r="F493" s="252" t="s">
        <v>96</v>
      </c>
      <c r="G493" s="257">
        <v>-16259.2</v>
      </c>
      <c r="H493" s="257">
        <v>-26421.200000000001</v>
      </c>
      <c r="I493" s="257">
        <v>-26421.200000000001</v>
      </c>
      <c r="J493" s="257" t="e">
        <f>#REF!+H493</f>
        <v>#REF!</v>
      </c>
      <c r="K493" s="257">
        <f t="shared" ref="K493" si="413">G493+I493</f>
        <v>-42680.4</v>
      </c>
      <c r="L493" s="257" t="e">
        <f>I493+J493</f>
        <v>#REF!</v>
      </c>
      <c r="M493" s="257" t="e">
        <f>I493+L493</f>
        <v>#REF!</v>
      </c>
      <c r="N493" s="257" t="e">
        <f>J493+L493</f>
        <v>#REF!</v>
      </c>
      <c r="O493" s="257" t="e">
        <f>L493+M493</f>
        <v>#REF!</v>
      </c>
    </row>
    <row r="494" spans="1:15" ht="18" hidden="1" customHeight="1" x14ac:dyDescent="0.2">
      <c r="A494" s="259" t="s">
        <v>504</v>
      </c>
      <c r="B494" s="271">
        <v>801</v>
      </c>
      <c r="C494" s="271" t="s">
        <v>312</v>
      </c>
      <c r="D494" s="252" t="s">
        <v>192</v>
      </c>
      <c r="E494" s="260" t="s">
        <v>465</v>
      </c>
      <c r="F494" s="252"/>
      <c r="G494" s="257" t="e">
        <v>#REF!</v>
      </c>
      <c r="H494" s="257" t="e">
        <v>#REF!</v>
      </c>
      <c r="I494" s="257" t="e">
        <v>#REF!</v>
      </c>
      <c r="J494" s="257" t="e">
        <f t="shared" ref="J494:O494" si="414">J495</f>
        <v>#REF!</v>
      </c>
      <c r="K494" s="257" t="e">
        <f>L495</f>
        <v>#REF!</v>
      </c>
      <c r="L494" s="257" t="e">
        <f t="shared" si="414"/>
        <v>#REF!</v>
      </c>
      <c r="M494" s="257" t="e">
        <f t="shared" si="414"/>
        <v>#REF!</v>
      </c>
      <c r="N494" s="257" t="e">
        <f t="shared" si="414"/>
        <v>#REF!</v>
      </c>
      <c r="O494" s="257" t="e">
        <f t="shared" si="414"/>
        <v>#REF!</v>
      </c>
    </row>
    <row r="495" spans="1:15" ht="12.75" hidden="1" customHeight="1" x14ac:dyDescent="0.2">
      <c r="A495" s="259" t="s">
        <v>95</v>
      </c>
      <c r="B495" s="271">
        <v>801</v>
      </c>
      <c r="C495" s="271" t="s">
        <v>312</v>
      </c>
      <c r="D495" s="252" t="s">
        <v>192</v>
      </c>
      <c r="E495" s="260" t="s">
        <v>465</v>
      </c>
      <c r="F495" s="252" t="s">
        <v>96</v>
      </c>
      <c r="G495" s="257" t="e">
        <v>#REF!</v>
      </c>
      <c r="H495" s="257" t="e">
        <v>#REF!</v>
      </c>
      <c r="I495" s="257" t="e">
        <v>#REF!</v>
      </c>
      <c r="J495" s="257" t="e">
        <f>#REF!+H495</f>
        <v>#REF!</v>
      </c>
      <c r="K495" s="257" t="e">
        <f>#REF!+I495</f>
        <v>#REF!</v>
      </c>
      <c r="L495" s="257" t="e">
        <f>#REF!+J495</f>
        <v>#REF!</v>
      </c>
      <c r="M495" s="257" t="e">
        <f>#REF!+L495</f>
        <v>#REF!</v>
      </c>
      <c r="N495" s="257" t="e">
        <f>#REF!+L495</f>
        <v>#REF!</v>
      </c>
      <c r="O495" s="257" t="e">
        <f>#REF!+M495</f>
        <v>#REF!</v>
      </c>
    </row>
    <row r="496" spans="1:15" ht="12.75" customHeight="1" x14ac:dyDescent="0.2">
      <c r="A496" s="259" t="s">
        <v>504</v>
      </c>
      <c r="B496" s="271">
        <v>801</v>
      </c>
      <c r="C496" s="271" t="s">
        <v>312</v>
      </c>
      <c r="D496" s="252" t="s">
        <v>192</v>
      </c>
      <c r="E496" s="260" t="s">
        <v>867</v>
      </c>
      <c r="F496" s="252"/>
      <c r="G496" s="257">
        <v>2966</v>
      </c>
      <c r="H496" s="257">
        <v>-954.4</v>
      </c>
      <c r="I496" s="257">
        <v>2332</v>
      </c>
      <c r="J496" s="257">
        <f>J497+J498+J499+J500</f>
        <v>-249</v>
      </c>
      <c r="K496" s="257">
        <f>L497+L498+L499+L500</f>
        <v>2083</v>
      </c>
      <c r="L496" s="257">
        <f t="shared" ref="L496" si="415">L497+L498+L499+L500</f>
        <v>2083</v>
      </c>
      <c r="M496" s="257">
        <f>M497+M498+M499+M500</f>
        <v>0</v>
      </c>
      <c r="N496" s="257">
        <f t="shared" ref="N496:O496" si="416">N497+N498+N499+N500</f>
        <v>2083</v>
      </c>
      <c r="O496" s="257">
        <f t="shared" si="416"/>
        <v>2083</v>
      </c>
    </row>
    <row r="497" spans="1:15" ht="12.75" customHeight="1" x14ac:dyDescent="0.2">
      <c r="A497" s="259" t="s">
        <v>95</v>
      </c>
      <c r="B497" s="271">
        <v>801</v>
      </c>
      <c r="C497" s="271" t="s">
        <v>312</v>
      </c>
      <c r="D497" s="252" t="s">
        <v>192</v>
      </c>
      <c r="E497" s="260" t="s">
        <v>867</v>
      </c>
      <c r="F497" s="252" t="s">
        <v>96</v>
      </c>
      <c r="G497" s="257">
        <v>1791</v>
      </c>
      <c r="H497" s="257">
        <v>-246</v>
      </c>
      <c r="I497" s="257">
        <v>1791</v>
      </c>
      <c r="J497" s="257">
        <v>-191</v>
      </c>
      <c r="K497" s="257">
        <f t="shared" ref="K497:L500" si="417">I497+J497</f>
        <v>1600</v>
      </c>
      <c r="L497" s="257">
        <v>1600</v>
      </c>
      <c r="M497" s="257">
        <v>0</v>
      </c>
      <c r="N497" s="257">
        <f>L497+M497</f>
        <v>1600</v>
      </c>
      <c r="O497" s="257">
        <v>1600</v>
      </c>
    </row>
    <row r="498" spans="1:15" ht="33" customHeight="1" x14ac:dyDescent="0.2">
      <c r="A498" s="375" t="s">
        <v>898</v>
      </c>
      <c r="B498" s="271">
        <v>801</v>
      </c>
      <c r="C498" s="271" t="s">
        <v>312</v>
      </c>
      <c r="D498" s="252" t="s">
        <v>192</v>
      </c>
      <c r="E498" s="260" t="s">
        <v>867</v>
      </c>
      <c r="F498" s="252" t="s">
        <v>896</v>
      </c>
      <c r="G498" s="257">
        <v>541</v>
      </c>
      <c r="H498" s="257">
        <v>-74.400000000000006</v>
      </c>
      <c r="I498" s="257">
        <v>541</v>
      </c>
      <c r="J498" s="257">
        <v>-58</v>
      </c>
      <c r="K498" s="257">
        <f t="shared" si="417"/>
        <v>483</v>
      </c>
      <c r="L498" s="257">
        <v>483</v>
      </c>
      <c r="M498" s="257">
        <v>0</v>
      </c>
      <c r="N498" s="257">
        <f>L498+M498</f>
        <v>483</v>
      </c>
      <c r="O498" s="257">
        <v>483</v>
      </c>
    </row>
    <row r="499" spans="1:15" ht="21" hidden="1" customHeight="1" x14ac:dyDescent="0.2">
      <c r="A499" s="259" t="s">
        <v>907</v>
      </c>
      <c r="B499" s="271">
        <v>801</v>
      </c>
      <c r="C499" s="271" t="s">
        <v>312</v>
      </c>
      <c r="D499" s="252" t="s">
        <v>192</v>
      </c>
      <c r="E499" s="260" t="s">
        <v>1016</v>
      </c>
      <c r="F499" s="252" t="s">
        <v>96</v>
      </c>
      <c r="G499" s="257">
        <v>487</v>
      </c>
      <c r="H499" s="257">
        <v>-487</v>
      </c>
      <c r="I499" s="257">
        <v>0</v>
      </c>
      <c r="J499" s="257">
        <v>0</v>
      </c>
      <c r="K499" s="257">
        <f t="shared" si="417"/>
        <v>0</v>
      </c>
      <c r="L499" s="257">
        <f t="shared" si="417"/>
        <v>0</v>
      </c>
      <c r="M499" s="257">
        <v>0</v>
      </c>
      <c r="N499" s="257">
        <f>L499+M499</f>
        <v>0</v>
      </c>
      <c r="O499" s="257">
        <f t="shared" ref="O499:O500" si="418">M499+N499</f>
        <v>0</v>
      </c>
    </row>
    <row r="500" spans="1:15" ht="33" hidden="1" customHeight="1" x14ac:dyDescent="0.2">
      <c r="A500" s="375" t="s">
        <v>898</v>
      </c>
      <c r="B500" s="271">
        <v>801</v>
      </c>
      <c r="C500" s="271" t="s">
        <v>312</v>
      </c>
      <c r="D500" s="252" t="s">
        <v>192</v>
      </c>
      <c r="E500" s="260" t="s">
        <v>1016</v>
      </c>
      <c r="F500" s="252" t="s">
        <v>896</v>
      </c>
      <c r="G500" s="257">
        <v>147</v>
      </c>
      <c r="H500" s="257">
        <v>-147</v>
      </c>
      <c r="I500" s="257">
        <v>0</v>
      </c>
      <c r="J500" s="257">
        <v>0</v>
      </c>
      <c r="K500" s="257">
        <f t="shared" si="417"/>
        <v>0</v>
      </c>
      <c r="L500" s="257">
        <f t="shared" si="417"/>
        <v>0</v>
      </c>
      <c r="M500" s="257">
        <v>0</v>
      </c>
      <c r="N500" s="257">
        <f>L500+M500</f>
        <v>0</v>
      </c>
      <c r="O500" s="257">
        <f t="shared" si="418"/>
        <v>0</v>
      </c>
    </row>
    <row r="501" spans="1:15" s="430" customFormat="1" ht="28.5" customHeight="1" x14ac:dyDescent="0.2">
      <c r="A501" s="462" t="s">
        <v>195</v>
      </c>
      <c r="B501" s="249">
        <v>801</v>
      </c>
      <c r="C501" s="249" t="s">
        <v>312</v>
      </c>
      <c r="D501" s="250" t="s">
        <v>196</v>
      </c>
      <c r="E501" s="249"/>
      <c r="F501" s="249"/>
      <c r="G501" s="275">
        <v>18774.400000000001</v>
      </c>
      <c r="H501" s="275">
        <v>-1821.9</v>
      </c>
      <c r="I501" s="275">
        <v>16931.5</v>
      </c>
      <c r="J501" s="275" t="e">
        <f>J536+J547+J550+J553</f>
        <v>#REF!</v>
      </c>
      <c r="K501" s="275">
        <f>L536+L547+L550+L553</f>
        <v>17611.7</v>
      </c>
      <c r="L501" s="275">
        <f>L536+L547+L550+L553</f>
        <v>17611.7</v>
      </c>
      <c r="M501" s="275">
        <f t="shared" ref="M501:O501" si="419">M536+M547+M550+M553</f>
        <v>341.39999999999986</v>
      </c>
      <c r="N501" s="275">
        <f t="shared" si="419"/>
        <v>17953.099999999999</v>
      </c>
      <c r="O501" s="275">
        <f t="shared" si="419"/>
        <v>17953.099999999999</v>
      </c>
    </row>
    <row r="502" spans="1:15" ht="24.75" hidden="1" customHeight="1" x14ac:dyDescent="0.2">
      <c r="A502" s="259" t="s">
        <v>123</v>
      </c>
      <c r="B502" s="271">
        <v>801</v>
      </c>
      <c r="C502" s="271" t="s">
        <v>312</v>
      </c>
      <c r="D502" s="252" t="s">
        <v>196</v>
      </c>
      <c r="E502" s="260" t="s">
        <v>332</v>
      </c>
      <c r="F502" s="271"/>
      <c r="G502" s="257">
        <v>-120907.12</v>
      </c>
      <c r="H502" s="257">
        <v>-196474.06999999998</v>
      </c>
      <c r="I502" s="257">
        <v>-196474.06999999998</v>
      </c>
      <c r="J502" s="257" t="e">
        <f t="shared" ref="J502:O502" si="420">J503</f>
        <v>#REF!</v>
      </c>
      <c r="K502" s="257" t="e">
        <f>L503</f>
        <v>#REF!</v>
      </c>
      <c r="L502" s="257" t="e">
        <f t="shared" si="420"/>
        <v>#REF!</v>
      </c>
      <c r="M502" s="257" t="e">
        <f t="shared" si="420"/>
        <v>#REF!</v>
      </c>
      <c r="N502" s="257" t="e">
        <f t="shared" si="420"/>
        <v>#REF!</v>
      </c>
      <c r="O502" s="257" t="e">
        <f t="shared" si="420"/>
        <v>#REF!</v>
      </c>
    </row>
    <row r="503" spans="1:15" ht="16.5" hidden="1" customHeight="1" x14ac:dyDescent="0.2">
      <c r="A503" s="259" t="s">
        <v>315</v>
      </c>
      <c r="B503" s="271">
        <v>801</v>
      </c>
      <c r="C503" s="271" t="s">
        <v>312</v>
      </c>
      <c r="D503" s="252" t="s">
        <v>196</v>
      </c>
      <c r="E503" s="260" t="s">
        <v>334</v>
      </c>
      <c r="F503" s="252"/>
      <c r="G503" s="257">
        <v>-120907.12</v>
      </c>
      <c r="H503" s="257">
        <v>-196474.06999999998</v>
      </c>
      <c r="I503" s="257">
        <v>-196474.06999999998</v>
      </c>
      <c r="J503" s="257" t="e">
        <f t="shared" ref="J503" si="421">J510+J504+J505+J506+J507+J509+J511+J512+J508</f>
        <v>#REF!</v>
      </c>
      <c r="K503" s="257" t="e">
        <f>L510+L504+L505+L506+L507+L509+L511+L512+L508</f>
        <v>#REF!</v>
      </c>
      <c r="L503" s="257" t="e">
        <f t="shared" ref="L503" si="422">L510+L504+L505+L506+L507+L509+L511+L512+L508</f>
        <v>#REF!</v>
      </c>
      <c r="M503" s="257" t="e">
        <f t="shared" ref="M503:N503" si="423">M510+M504+M505+M506+M507+M509+M511+M512+M508</f>
        <v>#REF!</v>
      </c>
      <c r="N503" s="257" t="e">
        <f t="shared" si="423"/>
        <v>#REF!</v>
      </c>
      <c r="O503" s="257" t="e">
        <f t="shared" ref="O503" si="424">O510+O504+O505+O506+O507+O509+O511+O512+O508</f>
        <v>#REF!</v>
      </c>
    </row>
    <row r="504" spans="1:15" ht="18.75" hidden="1" customHeight="1" x14ac:dyDescent="0.2">
      <c r="A504" s="259" t="s">
        <v>95</v>
      </c>
      <c r="B504" s="271">
        <v>801</v>
      </c>
      <c r="C504" s="271" t="s">
        <v>312</v>
      </c>
      <c r="D504" s="252" t="s">
        <v>196</v>
      </c>
      <c r="E504" s="260" t="s">
        <v>334</v>
      </c>
      <c r="F504" s="252" t="s">
        <v>96</v>
      </c>
      <c r="G504" s="257">
        <v>-78848.800000000003</v>
      </c>
      <c r="H504" s="257">
        <v>-128129.3</v>
      </c>
      <c r="I504" s="257">
        <v>-128129.3</v>
      </c>
      <c r="J504" s="257" t="e">
        <f>#REF!+H504</f>
        <v>#REF!</v>
      </c>
      <c r="K504" s="257">
        <f t="shared" ref="K504:K512" si="425">G504+I504</f>
        <v>-206978.1</v>
      </c>
      <c r="L504" s="257" t="e">
        <f t="shared" ref="L504:L512" si="426">I504+J504</f>
        <v>#REF!</v>
      </c>
      <c r="M504" s="257" t="e">
        <f t="shared" ref="M504:M512" si="427">I504+L504</f>
        <v>#REF!</v>
      </c>
      <c r="N504" s="257" t="e">
        <f t="shared" ref="N504:N512" si="428">J504+L504</f>
        <v>#REF!</v>
      </c>
      <c r="O504" s="257" t="e">
        <f t="shared" ref="O504:O512" si="429">L504+M504</f>
        <v>#REF!</v>
      </c>
    </row>
    <row r="505" spans="1:15" ht="12" hidden="1" customHeight="1" x14ac:dyDescent="0.2">
      <c r="A505" s="259" t="s">
        <v>97</v>
      </c>
      <c r="B505" s="271">
        <v>801</v>
      </c>
      <c r="C505" s="271" t="s">
        <v>312</v>
      </c>
      <c r="D505" s="252" t="s">
        <v>196</v>
      </c>
      <c r="E505" s="260" t="s">
        <v>334</v>
      </c>
      <c r="F505" s="252" t="s">
        <v>98</v>
      </c>
      <c r="G505" s="257">
        <v>-3840</v>
      </c>
      <c r="H505" s="257">
        <v>-6240</v>
      </c>
      <c r="I505" s="257">
        <v>-6240</v>
      </c>
      <c r="J505" s="257" t="e">
        <f>#REF!+H505</f>
        <v>#REF!</v>
      </c>
      <c r="K505" s="257">
        <f t="shared" si="425"/>
        <v>-10080</v>
      </c>
      <c r="L505" s="257" t="e">
        <f t="shared" si="426"/>
        <v>#REF!</v>
      </c>
      <c r="M505" s="257" t="e">
        <f t="shared" si="427"/>
        <v>#REF!</v>
      </c>
      <c r="N505" s="257" t="e">
        <f t="shared" si="428"/>
        <v>#REF!</v>
      </c>
      <c r="O505" s="257" t="e">
        <f t="shared" si="429"/>
        <v>#REF!</v>
      </c>
    </row>
    <row r="506" spans="1:15" ht="25.5" hidden="1" customHeight="1" x14ac:dyDescent="0.2">
      <c r="A506" s="259" t="s">
        <v>99</v>
      </c>
      <c r="B506" s="271">
        <v>801</v>
      </c>
      <c r="C506" s="271" t="s">
        <v>312</v>
      </c>
      <c r="D506" s="252" t="s">
        <v>196</v>
      </c>
      <c r="E506" s="260" t="s">
        <v>401</v>
      </c>
      <c r="F506" s="252" t="s">
        <v>100</v>
      </c>
      <c r="G506" s="257">
        <v>0</v>
      </c>
      <c r="H506" s="257">
        <v>0</v>
      </c>
      <c r="I506" s="257">
        <v>0</v>
      </c>
      <c r="J506" s="257" t="e">
        <f>#REF!+H506</f>
        <v>#REF!</v>
      </c>
      <c r="K506" s="257">
        <f t="shared" si="425"/>
        <v>0</v>
      </c>
      <c r="L506" s="257" t="e">
        <f t="shared" si="426"/>
        <v>#REF!</v>
      </c>
      <c r="M506" s="257" t="e">
        <f t="shared" si="427"/>
        <v>#REF!</v>
      </c>
      <c r="N506" s="257" t="e">
        <f t="shared" si="428"/>
        <v>#REF!</v>
      </c>
      <c r="O506" s="257" t="e">
        <f t="shared" si="429"/>
        <v>#REF!</v>
      </c>
    </row>
    <row r="507" spans="1:15" ht="25.5" hidden="1" customHeight="1" x14ac:dyDescent="0.2">
      <c r="A507" s="259" t="s">
        <v>101</v>
      </c>
      <c r="B507" s="271">
        <v>801</v>
      </c>
      <c r="C507" s="271" t="s">
        <v>312</v>
      </c>
      <c r="D507" s="252" t="s">
        <v>196</v>
      </c>
      <c r="E507" s="260" t="s">
        <v>401</v>
      </c>
      <c r="F507" s="252" t="s">
        <v>102</v>
      </c>
      <c r="G507" s="257">
        <v>0</v>
      </c>
      <c r="H507" s="257">
        <v>0</v>
      </c>
      <c r="I507" s="257">
        <v>0</v>
      </c>
      <c r="J507" s="257" t="e">
        <f>#REF!+H507</f>
        <v>#REF!</v>
      </c>
      <c r="K507" s="257">
        <f t="shared" si="425"/>
        <v>0</v>
      </c>
      <c r="L507" s="257" t="e">
        <f t="shared" si="426"/>
        <v>#REF!</v>
      </c>
      <c r="M507" s="257" t="e">
        <f t="shared" si="427"/>
        <v>#REF!</v>
      </c>
      <c r="N507" s="257" t="e">
        <f t="shared" si="428"/>
        <v>#REF!</v>
      </c>
      <c r="O507" s="257" t="e">
        <f t="shared" si="429"/>
        <v>#REF!</v>
      </c>
    </row>
    <row r="508" spans="1:15" ht="18" hidden="1" customHeight="1" x14ac:dyDescent="0.2">
      <c r="A508" s="259" t="s">
        <v>99</v>
      </c>
      <c r="B508" s="271">
        <v>801</v>
      </c>
      <c r="C508" s="271" t="s">
        <v>312</v>
      </c>
      <c r="D508" s="252" t="s">
        <v>196</v>
      </c>
      <c r="E508" s="260" t="s">
        <v>334</v>
      </c>
      <c r="F508" s="252" t="s">
        <v>100</v>
      </c>
      <c r="G508" s="257">
        <v>-4000</v>
      </c>
      <c r="H508" s="257">
        <v>-6500</v>
      </c>
      <c r="I508" s="257">
        <v>-6500</v>
      </c>
      <c r="J508" s="257" t="e">
        <f>#REF!+H508</f>
        <v>#REF!</v>
      </c>
      <c r="K508" s="257">
        <f t="shared" si="425"/>
        <v>-10500</v>
      </c>
      <c r="L508" s="257" t="e">
        <f t="shared" si="426"/>
        <v>#REF!</v>
      </c>
      <c r="M508" s="257" t="e">
        <f t="shared" si="427"/>
        <v>#REF!</v>
      </c>
      <c r="N508" s="257" t="e">
        <f t="shared" si="428"/>
        <v>#REF!</v>
      </c>
      <c r="O508" s="257" t="e">
        <f t="shared" si="429"/>
        <v>#REF!</v>
      </c>
    </row>
    <row r="509" spans="1:15" ht="17.25" hidden="1" customHeight="1" x14ac:dyDescent="0.2">
      <c r="A509" s="259" t="s">
        <v>93</v>
      </c>
      <c r="B509" s="271">
        <v>801</v>
      </c>
      <c r="C509" s="271" t="s">
        <v>312</v>
      </c>
      <c r="D509" s="252" t="s">
        <v>196</v>
      </c>
      <c r="E509" s="260" t="s">
        <v>334</v>
      </c>
      <c r="F509" s="252" t="s">
        <v>94</v>
      </c>
      <c r="G509" s="257">
        <v>-32218.319999999996</v>
      </c>
      <c r="H509" s="257">
        <v>-52354.76999999999</v>
      </c>
      <c r="I509" s="257">
        <v>-52354.76999999999</v>
      </c>
      <c r="J509" s="257" t="e">
        <f>#REF!+H509</f>
        <v>#REF!</v>
      </c>
      <c r="K509" s="257">
        <f t="shared" si="425"/>
        <v>-84573.089999999982</v>
      </c>
      <c r="L509" s="257" t="e">
        <f t="shared" si="426"/>
        <v>#REF!</v>
      </c>
      <c r="M509" s="257" t="e">
        <f t="shared" si="427"/>
        <v>#REF!</v>
      </c>
      <c r="N509" s="257" t="e">
        <f t="shared" si="428"/>
        <v>#REF!</v>
      </c>
      <c r="O509" s="257" t="e">
        <f t="shared" si="429"/>
        <v>#REF!</v>
      </c>
    </row>
    <row r="510" spans="1:15" ht="12.75" hidden="1" customHeight="1" x14ac:dyDescent="0.2">
      <c r="A510" s="259" t="s">
        <v>320</v>
      </c>
      <c r="B510" s="271">
        <v>801</v>
      </c>
      <c r="C510" s="271" t="s">
        <v>312</v>
      </c>
      <c r="D510" s="252" t="s">
        <v>196</v>
      </c>
      <c r="E510" s="260" t="s">
        <v>334</v>
      </c>
      <c r="F510" s="252" t="s">
        <v>64</v>
      </c>
      <c r="G510" s="257">
        <v>0</v>
      </c>
      <c r="H510" s="257">
        <v>0</v>
      </c>
      <c r="I510" s="257">
        <v>0</v>
      </c>
      <c r="J510" s="257" t="e">
        <f>#REF!+H510</f>
        <v>#REF!</v>
      </c>
      <c r="K510" s="257">
        <f t="shared" si="425"/>
        <v>0</v>
      </c>
      <c r="L510" s="257" t="e">
        <f t="shared" si="426"/>
        <v>#REF!</v>
      </c>
      <c r="M510" s="257" t="e">
        <f t="shared" si="427"/>
        <v>#REF!</v>
      </c>
      <c r="N510" s="257" t="e">
        <f t="shared" si="428"/>
        <v>#REF!</v>
      </c>
      <c r="O510" s="257" t="e">
        <f t="shared" si="429"/>
        <v>#REF!</v>
      </c>
    </row>
    <row r="511" spans="1:15" hidden="1" x14ac:dyDescent="0.2">
      <c r="A511" s="259" t="s">
        <v>103</v>
      </c>
      <c r="B511" s="271">
        <v>801</v>
      </c>
      <c r="C511" s="271" t="s">
        <v>312</v>
      </c>
      <c r="D511" s="252" t="s">
        <v>196</v>
      </c>
      <c r="E511" s="260" t="s">
        <v>334</v>
      </c>
      <c r="F511" s="252" t="s">
        <v>104</v>
      </c>
      <c r="G511" s="257">
        <v>-1680</v>
      </c>
      <c r="H511" s="257">
        <v>-2730</v>
      </c>
      <c r="I511" s="257">
        <v>-2730</v>
      </c>
      <c r="J511" s="257" t="e">
        <f>#REF!+H511</f>
        <v>#REF!</v>
      </c>
      <c r="K511" s="257">
        <f t="shared" si="425"/>
        <v>-4410</v>
      </c>
      <c r="L511" s="257" t="e">
        <f t="shared" si="426"/>
        <v>#REF!</v>
      </c>
      <c r="M511" s="257" t="e">
        <f t="shared" si="427"/>
        <v>#REF!</v>
      </c>
      <c r="N511" s="257" t="e">
        <f t="shared" si="428"/>
        <v>#REF!</v>
      </c>
      <c r="O511" s="257" t="e">
        <f t="shared" si="429"/>
        <v>#REF!</v>
      </c>
    </row>
    <row r="512" spans="1:15" hidden="1" x14ac:dyDescent="0.2">
      <c r="A512" s="259" t="s">
        <v>105</v>
      </c>
      <c r="B512" s="271">
        <v>801</v>
      </c>
      <c r="C512" s="271" t="s">
        <v>312</v>
      </c>
      <c r="D512" s="252" t="s">
        <v>196</v>
      </c>
      <c r="E512" s="260" t="s">
        <v>334</v>
      </c>
      <c r="F512" s="252" t="s">
        <v>106</v>
      </c>
      <c r="G512" s="257">
        <v>-320</v>
      </c>
      <c r="H512" s="257">
        <v>-520</v>
      </c>
      <c r="I512" s="257">
        <v>-520</v>
      </c>
      <c r="J512" s="257" t="e">
        <f>#REF!+H512</f>
        <v>#REF!</v>
      </c>
      <c r="K512" s="257">
        <f t="shared" si="425"/>
        <v>-840</v>
      </c>
      <c r="L512" s="257" t="e">
        <f t="shared" si="426"/>
        <v>#REF!</v>
      </c>
      <c r="M512" s="257" t="e">
        <f t="shared" si="427"/>
        <v>#REF!</v>
      </c>
      <c r="N512" s="257" t="e">
        <f t="shared" si="428"/>
        <v>#REF!</v>
      </c>
      <c r="O512" s="257" t="e">
        <f t="shared" si="429"/>
        <v>#REF!</v>
      </c>
    </row>
    <row r="513" spans="1:15" ht="60.75" hidden="1" customHeight="1" x14ac:dyDescent="0.2">
      <c r="A513" s="270" t="s">
        <v>733</v>
      </c>
      <c r="B513" s="271">
        <v>801</v>
      </c>
      <c r="C513" s="272" t="s">
        <v>190</v>
      </c>
      <c r="D513" s="272" t="s">
        <v>196</v>
      </c>
      <c r="E513" s="272" t="s">
        <v>442</v>
      </c>
      <c r="F513" s="249"/>
      <c r="G513" s="257" t="e">
        <v>#REF!</v>
      </c>
      <c r="H513" s="257" t="e">
        <v>#REF!</v>
      </c>
      <c r="I513" s="257" t="e">
        <v>#REF!</v>
      </c>
      <c r="J513" s="257" t="e">
        <f t="shared" ref="J513:O513" si="430">J514</f>
        <v>#REF!</v>
      </c>
      <c r="K513" s="257" t="e">
        <f>L514</f>
        <v>#REF!</v>
      </c>
      <c r="L513" s="257" t="e">
        <f t="shared" si="430"/>
        <v>#REF!</v>
      </c>
      <c r="M513" s="257" t="e">
        <f t="shared" si="430"/>
        <v>#REF!</v>
      </c>
      <c r="N513" s="257" t="e">
        <f t="shared" si="430"/>
        <v>#REF!</v>
      </c>
      <c r="O513" s="257" t="e">
        <f t="shared" si="430"/>
        <v>#REF!</v>
      </c>
    </row>
    <row r="514" spans="1:15" ht="19.5" hidden="1" customHeight="1" x14ac:dyDescent="0.2">
      <c r="A514" s="259" t="s">
        <v>93</v>
      </c>
      <c r="B514" s="271">
        <v>801</v>
      </c>
      <c r="C514" s="271" t="s">
        <v>312</v>
      </c>
      <c r="D514" s="252" t="s">
        <v>196</v>
      </c>
      <c r="E514" s="252" t="s">
        <v>442</v>
      </c>
      <c r="F514" s="252" t="s">
        <v>94</v>
      </c>
      <c r="G514" s="257" t="e">
        <v>#REF!</v>
      </c>
      <c r="H514" s="257" t="e">
        <v>#REF!</v>
      </c>
      <c r="I514" s="257" t="e">
        <v>#REF!</v>
      </c>
      <c r="J514" s="257" t="e">
        <f>#REF!+H514</f>
        <v>#REF!</v>
      </c>
      <c r="K514" s="257" t="e">
        <f>#REF!+I514</f>
        <v>#REF!</v>
      </c>
      <c r="L514" s="257" t="e">
        <f>#REF!+J514</f>
        <v>#REF!</v>
      </c>
      <c r="M514" s="257" t="e">
        <f>#REF!+L514</f>
        <v>#REF!</v>
      </c>
      <c r="N514" s="257" t="e">
        <f>#REF!+L514</f>
        <v>#REF!</v>
      </c>
      <c r="O514" s="257" t="e">
        <f>#REF!+M514</f>
        <v>#REF!</v>
      </c>
    </row>
    <row r="515" spans="1:15" ht="12.75" hidden="1" customHeight="1" x14ac:dyDescent="0.2">
      <c r="A515" s="259" t="s">
        <v>97</v>
      </c>
      <c r="B515" s="271">
        <v>801</v>
      </c>
      <c r="C515" s="271" t="s">
        <v>312</v>
      </c>
      <c r="D515" s="252" t="s">
        <v>198</v>
      </c>
      <c r="E515" s="252" t="s">
        <v>363</v>
      </c>
      <c r="F515" s="252" t="s">
        <v>98</v>
      </c>
      <c r="G515" s="257" t="e">
        <v>#REF!</v>
      </c>
      <c r="H515" s="257">
        <v>0</v>
      </c>
      <c r="I515" s="257" t="e">
        <v>#REF!</v>
      </c>
      <c r="J515" s="257" t="e">
        <f>#REF!+H515</f>
        <v>#REF!</v>
      </c>
      <c r="K515" s="257" t="e">
        <f>#REF!+I515</f>
        <v>#REF!</v>
      </c>
      <c r="L515" s="257" t="e">
        <f t="shared" ref="L515:L518" si="431">F515+J515</f>
        <v>#REF!</v>
      </c>
      <c r="M515" s="257" t="e">
        <f>G515+L515</f>
        <v>#REF!</v>
      </c>
      <c r="N515" s="257" t="e">
        <f>H515+L515</f>
        <v>#REF!</v>
      </c>
      <c r="O515" s="257" t="e">
        <f t="shared" ref="O515:O518" si="432">I515+M515</f>
        <v>#REF!</v>
      </c>
    </row>
    <row r="516" spans="1:15" ht="12.75" hidden="1" customHeight="1" x14ac:dyDescent="0.2">
      <c r="A516" s="259" t="s">
        <v>121</v>
      </c>
      <c r="B516" s="271">
        <v>801</v>
      </c>
      <c r="C516" s="271" t="s">
        <v>312</v>
      </c>
      <c r="D516" s="252" t="s">
        <v>198</v>
      </c>
      <c r="E516" s="252" t="s">
        <v>363</v>
      </c>
      <c r="F516" s="252" t="s">
        <v>94</v>
      </c>
      <c r="G516" s="257" t="e">
        <v>#REF!</v>
      </c>
      <c r="H516" s="257">
        <v>0</v>
      </c>
      <c r="I516" s="257" t="e">
        <v>#REF!</v>
      </c>
      <c r="J516" s="257" t="e">
        <f>#REF!+H516</f>
        <v>#REF!</v>
      </c>
      <c r="K516" s="257" t="e">
        <f>#REF!+I516</f>
        <v>#REF!</v>
      </c>
      <c r="L516" s="257" t="e">
        <f t="shared" si="431"/>
        <v>#REF!</v>
      </c>
      <c r="M516" s="257" t="e">
        <f>G516+L516</f>
        <v>#REF!</v>
      </c>
      <c r="N516" s="257" t="e">
        <f>H516+L516</f>
        <v>#REF!</v>
      </c>
      <c r="O516" s="257" t="e">
        <f t="shared" si="432"/>
        <v>#REF!</v>
      </c>
    </row>
    <row r="517" spans="1:15" ht="12.75" hidden="1" customHeight="1" x14ac:dyDescent="0.2">
      <c r="A517" s="259" t="s">
        <v>63</v>
      </c>
      <c r="B517" s="271">
        <v>801</v>
      </c>
      <c r="C517" s="271" t="s">
        <v>312</v>
      </c>
      <c r="D517" s="252" t="s">
        <v>198</v>
      </c>
      <c r="E517" s="252" t="s">
        <v>363</v>
      </c>
      <c r="F517" s="252" t="s">
        <v>64</v>
      </c>
      <c r="G517" s="257" t="e">
        <v>#REF!</v>
      </c>
      <c r="H517" s="257">
        <v>0</v>
      </c>
      <c r="I517" s="257" t="e">
        <v>#REF!</v>
      </c>
      <c r="J517" s="257" t="e">
        <f>#REF!+H517</f>
        <v>#REF!</v>
      </c>
      <c r="K517" s="257" t="e">
        <f>#REF!+I517</f>
        <v>#REF!</v>
      </c>
      <c r="L517" s="257" t="e">
        <f t="shared" si="431"/>
        <v>#REF!</v>
      </c>
      <c r="M517" s="257" t="e">
        <f>G517+L517</f>
        <v>#REF!</v>
      </c>
      <c r="N517" s="257" t="e">
        <f>H517+L517</f>
        <v>#REF!</v>
      </c>
      <c r="O517" s="257" t="e">
        <f t="shared" si="432"/>
        <v>#REF!</v>
      </c>
    </row>
    <row r="518" spans="1:15" ht="12.75" hidden="1" customHeight="1" x14ac:dyDescent="0.2">
      <c r="A518" s="259" t="s">
        <v>302</v>
      </c>
      <c r="B518" s="271">
        <v>801</v>
      </c>
      <c r="C518" s="271" t="s">
        <v>312</v>
      </c>
      <c r="D518" s="252" t="s">
        <v>198</v>
      </c>
      <c r="E518" s="252" t="s">
        <v>316</v>
      </c>
      <c r="F518" s="252" t="s">
        <v>303</v>
      </c>
      <c r="G518" s="257" t="e">
        <v>#REF!</v>
      </c>
      <c r="H518" s="257">
        <v>0</v>
      </c>
      <c r="I518" s="257" t="e">
        <v>#REF!</v>
      </c>
      <c r="J518" s="257" t="e">
        <f>#REF!+H518</f>
        <v>#REF!</v>
      </c>
      <c r="K518" s="257" t="e">
        <f>#REF!+I518</f>
        <v>#REF!</v>
      </c>
      <c r="L518" s="257" t="e">
        <f t="shared" si="431"/>
        <v>#REF!</v>
      </c>
      <c r="M518" s="257" t="e">
        <f>G518+L518</f>
        <v>#REF!</v>
      </c>
      <c r="N518" s="257" t="e">
        <f>H518+L518</f>
        <v>#REF!</v>
      </c>
      <c r="O518" s="257" t="e">
        <f t="shared" si="432"/>
        <v>#REF!</v>
      </c>
    </row>
    <row r="519" spans="1:15" s="431" customFormat="1" ht="54.75" hidden="1" customHeight="1" x14ac:dyDescent="0.2">
      <c r="A519" s="369" t="s">
        <v>379</v>
      </c>
      <c r="B519" s="252">
        <v>801</v>
      </c>
      <c r="C519" s="252" t="s">
        <v>190</v>
      </c>
      <c r="D519" s="252" t="s">
        <v>196</v>
      </c>
      <c r="E519" s="252" t="s">
        <v>380</v>
      </c>
      <c r="F519" s="252"/>
      <c r="G519" s="257" t="e">
        <v>#REF!</v>
      </c>
      <c r="H519" s="257" t="e">
        <v>#REF!</v>
      </c>
      <c r="I519" s="257" t="e">
        <v>#REF!</v>
      </c>
      <c r="J519" s="257" t="e">
        <f t="shared" ref="J519:O519" si="433">J520</f>
        <v>#REF!</v>
      </c>
      <c r="K519" s="257" t="e">
        <f>L520</f>
        <v>#REF!</v>
      </c>
      <c r="L519" s="257" t="e">
        <f t="shared" si="433"/>
        <v>#REF!</v>
      </c>
      <c r="M519" s="257" t="e">
        <f t="shared" si="433"/>
        <v>#REF!</v>
      </c>
      <c r="N519" s="257" t="e">
        <f t="shared" si="433"/>
        <v>#REF!</v>
      </c>
      <c r="O519" s="257" t="e">
        <f t="shared" si="433"/>
        <v>#REF!</v>
      </c>
    </row>
    <row r="520" spans="1:15" s="431" customFormat="1" ht="57.75" hidden="1" customHeight="1" x14ac:dyDescent="0.2">
      <c r="A520" s="367" t="s">
        <v>381</v>
      </c>
      <c r="B520" s="252" t="s">
        <v>146</v>
      </c>
      <c r="C520" s="252" t="s">
        <v>190</v>
      </c>
      <c r="D520" s="252" t="s">
        <v>196</v>
      </c>
      <c r="E520" s="252" t="s">
        <v>735</v>
      </c>
      <c r="F520" s="252"/>
      <c r="G520" s="257" t="e">
        <v>#REF!</v>
      </c>
      <c r="H520" s="257" t="e">
        <v>#REF!</v>
      </c>
      <c r="I520" s="257" t="e">
        <v>#REF!</v>
      </c>
      <c r="J520" s="257" t="e">
        <f t="shared" ref="J520" si="434">J521+J522+J523</f>
        <v>#REF!</v>
      </c>
      <c r="K520" s="257" t="e">
        <f>L521+L522+L523</f>
        <v>#REF!</v>
      </c>
      <c r="L520" s="257" t="e">
        <f t="shared" ref="L520" si="435">L521+L522+L523</f>
        <v>#REF!</v>
      </c>
      <c r="M520" s="257" t="e">
        <f t="shared" ref="M520:N520" si="436">M521+M522+M523</f>
        <v>#REF!</v>
      </c>
      <c r="N520" s="257" t="e">
        <f t="shared" si="436"/>
        <v>#REF!</v>
      </c>
      <c r="O520" s="257" t="e">
        <f t="shared" ref="O520" si="437">O521+O522+O523</f>
        <v>#REF!</v>
      </c>
    </row>
    <row r="521" spans="1:15" s="431" customFormat="1" ht="12.75" hidden="1" customHeight="1" x14ac:dyDescent="0.2">
      <c r="A521" s="259" t="s">
        <v>95</v>
      </c>
      <c r="B521" s="252" t="s">
        <v>146</v>
      </c>
      <c r="C521" s="252" t="s">
        <v>190</v>
      </c>
      <c r="D521" s="252" t="s">
        <v>196</v>
      </c>
      <c r="E521" s="252" t="s">
        <v>735</v>
      </c>
      <c r="F521" s="252" t="s">
        <v>96</v>
      </c>
      <c r="G521" s="257" t="e">
        <v>#REF!</v>
      </c>
      <c r="H521" s="257" t="e">
        <v>#REF!</v>
      </c>
      <c r="I521" s="257" t="e">
        <v>#REF!</v>
      </c>
      <c r="J521" s="257" t="e">
        <f>#REF!+H521</f>
        <v>#REF!</v>
      </c>
      <c r="K521" s="257" t="e">
        <f>#REF!+I521</f>
        <v>#REF!</v>
      </c>
      <c r="L521" s="257" t="e">
        <f>#REF!+J521</f>
        <v>#REF!</v>
      </c>
      <c r="M521" s="257" t="e">
        <f>#REF!+L521</f>
        <v>#REF!</v>
      </c>
      <c r="N521" s="257" t="e">
        <f>#REF!+L521</f>
        <v>#REF!</v>
      </c>
      <c r="O521" s="257" t="e">
        <f>#REF!+M521</f>
        <v>#REF!</v>
      </c>
    </row>
    <row r="522" spans="1:15" s="431" customFormat="1" ht="12.75" hidden="1" customHeight="1" x14ac:dyDescent="0.2">
      <c r="A522" s="259" t="s">
        <v>97</v>
      </c>
      <c r="B522" s="252" t="s">
        <v>146</v>
      </c>
      <c r="C522" s="252" t="s">
        <v>190</v>
      </c>
      <c r="D522" s="252" t="s">
        <v>196</v>
      </c>
      <c r="E522" s="252" t="s">
        <v>735</v>
      </c>
      <c r="F522" s="252" t="s">
        <v>98</v>
      </c>
      <c r="G522" s="257" t="e">
        <v>#REF!</v>
      </c>
      <c r="H522" s="257" t="e">
        <v>#REF!</v>
      </c>
      <c r="I522" s="257" t="e">
        <v>#REF!</v>
      </c>
      <c r="J522" s="257" t="e">
        <f>#REF!+H522</f>
        <v>#REF!</v>
      </c>
      <c r="K522" s="257" t="e">
        <f>#REF!+I522</f>
        <v>#REF!</v>
      </c>
      <c r="L522" s="257" t="e">
        <f>#REF!+J522</f>
        <v>#REF!</v>
      </c>
      <c r="M522" s="257" t="e">
        <f>#REF!+L522</f>
        <v>#REF!</v>
      </c>
      <c r="N522" s="257" t="e">
        <f>#REF!+L522</f>
        <v>#REF!</v>
      </c>
      <c r="O522" s="257" t="e">
        <f>#REF!+M522</f>
        <v>#REF!</v>
      </c>
    </row>
    <row r="523" spans="1:15" s="431" customFormat="1" ht="18.75" hidden="1" customHeight="1" x14ac:dyDescent="0.2">
      <c r="A523" s="259" t="s">
        <v>93</v>
      </c>
      <c r="B523" s="252" t="s">
        <v>146</v>
      </c>
      <c r="C523" s="252" t="s">
        <v>190</v>
      </c>
      <c r="D523" s="252" t="s">
        <v>196</v>
      </c>
      <c r="E523" s="252" t="s">
        <v>735</v>
      </c>
      <c r="F523" s="252" t="s">
        <v>94</v>
      </c>
      <c r="G523" s="257" t="e">
        <v>#REF!</v>
      </c>
      <c r="H523" s="257" t="e">
        <v>#REF!</v>
      </c>
      <c r="I523" s="257" t="e">
        <v>#REF!</v>
      </c>
      <c r="J523" s="257" t="e">
        <f>#REF!+H523</f>
        <v>#REF!</v>
      </c>
      <c r="K523" s="257" t="e">
        <f>#REF!+I523</f>
        <v>#REF!</v>
      </c>
      <c r="L523" s="257" t="e">
        <f>#REF!+J523</f>
        <v>#REF!</v>
      </c>
      <c r="M523" s="257" t="e">
        <f>#REF!+L523</f>
        <v>#REF!</v>
      </c>
      <c r="N523" s="257" t="e">
        <f>#REF!+L523</f>
        <v>#REF!</v>
      </c>
      <c r="O523" s="257" t="e">
        <f>#REF!+M523</f>
        <v>#REF!</v>
      </c>
    </row>
    <row r="524" spans="1:15" s="431" customFormat="1" ht="95.25" hidden="1" customHeight="1" x14ac:dyDescent="0.2">
      <c r="A524" s="367" t="s">
        <v>478</v>
      </c>
      <c r="B524" s="252" t="s">
        <v>146</v>
      </c>
      <c r="C524" s="252" t="s">
        <v>190</v>
      </c>
      <c r="D524" s="252" t="s">
        <v>196</v>
      </c>
      <c r="E524" s="252" t="s">
        <v>479</v>
      </c>
      <c r="F524" s="252"/>
      <c r="G524" s="257">
        <v>0</v>
      </c>
      <c r="H524" s="257">
        <v>0</v>
      </c>
      <c r="I524" s="257">
        <v>0</v>
      </c>
      <c r="J524" s="257" t="e">
        <f t="shared" ref="J524" si="438">J525+J526+J527</f>
        <v>#REF!</v>
      </c>
      <c r="K524" s="257" t="e">
        <f>L525+L526+L527</f>
        <v>#REF!</v>
      </c>
      <c r="L524" s="257" t="e">
        <f t="shared" ref="L524" si="439">L525+L526+L527</f>
        <v>#REF!</v>
      </c>
      <c r="M524" s="257" t="e">
        <f t="shared" ref="M524:N524" si="440">M525+M526+M527</f>
        <v>#REF!</v>
      </c>
      <c r="N524" s="257" t="e">
        <f t="shared" si="440"/>
        <v>#REF!</v>
      </c>
      <c r="O524" s="257" t="e">
        <f t="shared" ref="O524" si="441">O525+O526+O527</f>
        <v>#REF!</v>
      </c>
    </row>
    <row r="525" spans="1:15" s="431" customFormat="1" ht="21" hidden="1" customHeight="1" x14ac:dyDescent="0.2">
      <c r="A525" s="259" t="s">
        <v>95</v>
      </c>
      <c r="B525" s="252" t="s">
        <v>146</v>
      </c>
      <c r="C525" s="252" t="s">
        <v>190</v>
      </c>
      <c r="D525" s="252" t="s">
        <v>196</v>
      </c>
      <c r="E525" s="252" t="s">
        <v>479</v>
      </c>
      <c r="F525" s="252" t="s">
        <v>96</v>
      </c>
      <c r="G525" s="257">
        <v>0</v>
      </c>
      <c r="H525" s="257">
        <v>0</v>
      </c>
      <c r="I525" s="257">
        <v>0</v>
      </c>
      <c r="J525" s="257" t="e">
        <f>#REF!+H525</f>
        <v>#REF!</v>
      </c>
      <c r="K525" s="257">
        <f t="shared" ref="K525:K527" si="442">G525+I525</f>
        <v>0</v>
      </c>
      <c r="L525" s="257" t="e">
        <f>I525+J525</f>
        <v>#REF!</v>
      </c>
      <c r="M525" s="257" t="e">
        <f>I525+L525</f>
        <v>#REF!</v>
      </c>
      <c r="N525" s="257" t="e">
        <f>J525+L525</f>
        <v>#REF!</v>
      </c>
      <c r="O525" s="257" t="e">
        <f>L525+M525</f>
        <v>#REF!</v>
      </c>
    </row>
    <row r="526" spans="1:15" s="431" customFormat="1" ht="24.75" hidden="1" customHeight="1" x14ac:dyDescent="0.2">
      <c r="A526" s="259" t="s">
        <v>97</v>
      </c>
      <c r="B526" s="252" t="s">
        <v>146</v>
      </c>
      <c r="C526" s="252" t="s">
        <v>190</v>
      </c>
      <c r="D526" s="252" t="s">
        <v>196</v>
      </c>
      <c r="E526" s="252" t="s">
        <v>479</v>
      </c>
      <c r="F526" s="252" t="s">
        <v>98</v>
      </c>
      <c r="G526" s="257">
        <v>0</v>
      </c>
      <c r="H526" s="257">
        <v>0</v>
      </c>
      <c r="I526" s="257">
        <v>0</v>
      </c>
      <c r="J526" s="257" t="e">
        <f>#REF!+H526</f>
        <v>#REF!</v>
      </c>
      <c r="K526" s="257">
        <f t="shared" si="442"/>
        <v>0</v>
      </c>
      <c r="L526" s="257" t="e">
        <f>I526+J526</f>
        <v>#REF!</v>
      </c>
      <c r="M526" s="257" t="e">
        <f>I526+L526</f>
        <v>#REF!</v>
      </c>
      <c r="N526" s="257" t="e">
        <f>J526+L526</f>
        <v>#REF!</v>
      </c>
      <c r="O526" s="257" t="e">
        <f>L526+M526</f>
        <v>#REF!</v>
      </c>
    </row>
    <row r="527" spans="1:15" s="431" customFormat="1" ht="28.5" hidden="1" customHeight="1" x14ac:dyDescent="0.2">
      <c r="A527" s="259" t="s">
        <v>93</v>
      </c>
      <c r="B527" s="252" t="s">
        <v>146</v>
      </c>
      <c r="C527" s="252" t="s">
        <v>190</v>
      </c>
      <c r="D527" s="252" t="s">
        <v>196</v>
      </c>
      <c r="E527" s="252" t="s">
        <v>479</v>
      </c>
      <c r="F527" s="252" t="s">
        <v>94</v>
      </c>
      <c r="G527" s="257">
        <v>0</v>
      </c>
      <c r="H527" s="257">
        <v>0</v>
      </c>
      <c r="I527" s="257">
        <v>0</v>
      </c>
      <c r="J527" s="257" t="e">
        <f>#REF!+H527</f>
        <v>#REF!</v>
      </c>
      <c r="K527" s="257">
        <f t="shared" si="442"/>
        <v>0</v>
      </c>
      <c r="L527" s="257" t="e">
        <f>I527+J527</f>
        <v>#REF!</v>
      </c>
      <c r="M527" s="257" t="e">
        <f>I527+L527</f>
        <v>#REF!</v>
      </c>
      <c r="N527" s="257" t="e">
        <f>J527+L527</f>
        <v>#REF!</v>
      </c>
      <c r="O527" s="257" t="e">
        <f>L527+M527</f>
        <v>#REF!</v>
      </c>
    </row>
    <row r="528" spans="1:15" s="431" customFormat="1" ht="14.25" hidden="1" customHeight="1" x14ac:dyDescent="0.2">
      <c r="A528" s="259" t="s">
        <v>505</v>
      </c>
      <c r="B528" s="271">
        <v>801</v>
      </c>
      <c r="C528" s="271" t="s">
        <v>312</v>
      </c>
      <c r="D528" s="252" t="s">
        <v>196</v>
      </c>
      <c r="E528" s="251" t="s">
        <v>507</v>
      </c>
      <c r="F528" s="271"/>
      <c r="G528" s="257" t="e">
        <v>#REF!</v>
      </c>
      <c r="H528" s="257" t="e">
        <v>#REF!</v>
      </c>
      <c r="I528" s="257" t="e">
        <v>#REF!</v>
      </c>
      <c r="J528" s="257" t="e">
        <f t="shared" ref="J528:O528" si="443">J529</f>
        <v>#REF!</v>
      </c>
      <c r="K528" s="257" t="e">
        <f>L529</f>
        <v>#REF!</v>
      </c>
      <c r="L528" s="257" t="e">
        <f t="shared" si="443"/>
        <v>#REF!</v>
      </c>
      <c r="M528" s="257" t="e">
        <f t="shared" si="443"/>
        <v>#REF!</v>
      </c>
      <c r="N528" s="257" t="e">
        <f t="shared" si="443"/>
        <v>#REF!</v>
      </c>
      <c r="O528" s="257" t="e">
        <f t="shared" si="443"/>
        <v>#REF!</v>
      </c>
    </row>
    <row r="529" spans="1:15" s="431" customFormat="1" ht="17.25" hidden="1" customHeight="1" x14ac:dyDescent="0.2">
      <c r="A529" s="259" t="s">
        <v>506</v>
      </c>
      <c r="B529" s="271">
        <v>801</v>
      </c>
      <c r="C529" s="271" t="s">
        <v>312</v>
      </c>
      <c r="D529" s="252" t="s">
        <v>196</v>
      </c>
      <c r="E529" s="260" t="s">
        <v>467</v>
      </c>
      <c r="F529" s="252"/>
      <c r="G529" s="257" t="e">
        <v>#REF!</v>
      </c>
      <c r="H529" s="257" t="e">
        <v>#REF!</v>
      </c>
      <c r="I529" s="257" t="e">
        <v>#REF!</v>
      </c>
      <c r="J529" s="257" t="e">
        <f t="shared" ref="J529" si="444">J530+J531+J532+J533+J534+J535</f>
        <v>#REF!</v>
      </c>
      <c r="K529" s="257" t="e">
        <f>L530+L531+L532+L533+L534+L535</f>
        <v>#REF!</v>
      </c>
      <c r="L529" s="257" t="e">
        <f t="shared" ref="L529" si="445">L530+L531+L532+L533+L534+L535</f>
        <v>#REF!</v>
      </c>
      <c r="M529" s="257" t="e">
        <f t="shared" ref="M529:N529" si="446">M530+M531+M532+M533+M534+M535</f>
        <v>#REF!</v>
      </c>
      <c r="N529" s="257" t="e">
        <f t="shared" si="446"/>
        <v>#REF!</v>
      </c>
      <c r="O529" s="257" t="e">
        <f t="shared" ref="O529" si="447">O530+O531+O532+O533+O534+O535</f>
        <v>#REF!</v>
      </c>
    </row>
    <row r="530" spans="1:15" s="431" customFormat="1" ht="15" hidden="1" customHeight="1" x14ac:dyDescent="0.2">
      <c r="A530" s="259" t="s">
        <v>95</v>
      </c>
      <c r="B530" s="271">
        <v>801</v>
      </c>
      <c r="C530" s="271" t="s">
        <v>312</v>
      </c>
      <c r="D530" s="252" t="s">
        <v>196</v>
      </c>
      <c r="E530" s="260" t="s">
        <v>467</v>
      </c>
      <c r="F530" s="252" t="s">
        <v>96</v>
      </c>
      <c r="G530" s="257" t="e">
        <v>#REF!</v>
      </c>
      <c r="H530" s="257" t="e">
        <v>#REF!</v>
      </c>
      <c r="I530" s="257" t="e">
        <v>#REF!</v>
      </c>
      <c r="J530" s="257" t="e">
        <f>#REF!+H530</f>
        <v>#REF!</v>
      </c>
      <c r="K530" s="257" t="e">
        <f>#REF!+I530</f>
        <v>#REF!</v>
      </c>
      <c r="L530" s="257" t="e">
        <f>#REF!+J530</f>
        <v>#REF!</v>
      </c>
      <c r="M530" s="257" t="e">
        <f>#REF!+L530</f>
        <v>#REF!</v>
      </c>
      <c r="N530" s="257" t="e">
        <f>#REF!+L530</f>
        <v>#REF!</v>
      </c>
      <c r="O530" s="257" t="e">
        <f>#REF!+M530</f>
        <v>#REF!</v>
      </c>
    </row>
    <row r="531" spans="1:15" s="431" customFormat="1" ht="18" hidden="1" customHeight="1" x14ac:dyDescent="0.2">
      <c r="A531" s="259" t="s">
        <v>97</v>
      </c>
      <c r="B531" s="271">
        <v>801</v>
      </c>
      <c r="C531" s="271" t="s">
        <v>312</v>
      </c>
      <c r="D531" s="252" t="s">
        <v>196</v>
      </c>
      <c r="E531" s="260" t="s">
        <v>467</v>
      </c>
      <c r="F531" s="252" t="s">
        <v>98</v>
      </c>
      <c r="G531" s="257" t="e">
        <v>#REF!</v>
      </c>
      <c r="H531" s="257" t="e">
        <v>#REF!</v>
      </c>
      <c r="I531" s="257" t="e">
        <v>#REF!</v>
      </c>
      <c r="J531" s="257" t="e">
        <f>#REF!+H531</f>
        <v>#REF!</v>
      </c>
      <c r="K531" s="257" t="e">
        <f>#REF!+I531</f>
        <v>#REF!</v>
      </c>
      <c r="L531" s="257" t="e">
        <f>#REF!+J531</f>
        <v>#REF!</v>
      </c>
      <c r="M531" s="257" t="e">
        <f>#REF!+L531</f>
        <v>#REF!</v>
      </c>
      <c r="N531" s="257" t="e">
        <f>#REF!+L531</f>
        <v>#REF!</v>
      </c>
      <c r="O531" s="257" t="e">
        <f>#REF!+M531</f>
        <v>#REF!</v>
      </c>
    </row>
    <row r="532" spans="1:15" s="431" customFormat="1" ht="12" hidden="1" customHeight="1" x14ac:dyDescent="0.2">
      <c r="A532" s="259" t="s">
        <v>99</v>
      </c>
      <c r="B532" s="271">
        <v>801</v>
      </c>
      <c r="C532" s="271" t="s">
        <v>312</v>
      </c>
      <c r="D532" s="252" t="s">
        <v>196</v>
      </c>
      <c r="E532" s="260" t="s">
        <v>467</v>
      </c>
      <c r="F532" s="252" t="s">
        <v>100</v>
      </c>
      <c r="G532" s="257" t="e">
        <v>#REF!</v>
      </c>
      <c r="H532" s="257" t="e">
        <v>#REF!</v>
      </c>
      <c r="I532" s="257" t="e">
        <v>#REF!</v>
      </c>
      <c r="J532" s="257" t="e">
        <f>#REF!+H532</f>
        <v>#REF!</v>
      </c>
      <c r="K532" s="257" t="e">
        <f>#REF!+I532</f>
        <v>#REF!</v>
      </c>
      <c r="L532" s="257" t="e">
        <f>#REF!+J532</f>
        <v>#REF!</v>
      </c>
      <c r="M532" s="257" t="e">
        <f>#REF!+L532</f>
        <v>#REF!</v>
      </c>
      <c r="N532" s="257" t="e">
        <f>#REF!+L532</f>
        <v>#REF!</v>
      </c>
      <c r="O532" s="257" t="e">
        <f>#REF!+M532</f>
        <v>#REF!</v>
      </c>
    </row>
    <row r="533" spans="1:15" s="431" customFormat="1" ht="14.25" hidden="1" customHeight="1" x14ac:dyDescent="0.2">
      <c r="A533" s="259" t="s">
        <v>93</v>
      </c>
      <c r="B533" s="271">
        <v>801</v>
      </c>
      <c r="C533" s="271" t="s">
        <v>312</v>
      </c>
      <c r="D533" s="252" t="s">
        <v>196</v>
      </c>
      <c r="E533" s="260" t="s">
        <v>467</v>
      </c>
      <c r="F533" s="252" t="s">
        <v>94</v>
      </c>
      <c r="G533" s="257" t="e">
        <v>#REF!</v>
      </c>
      <c r="H533" s="257" t="e">
        <v>#REF!</v>
      </c>
      <c r="I533" s="257" t="e">
        <v>#REF!</v>
      </c>
      <c r="J533" s="257" t="e">
        <f>#REF!+H533</f>
        <v>#REF!</v>
      </c>
      <c r="K533" s="257" t="e">
        <f>#REF!+I533</f>
        <v>#REF!</v>
      </c>
      <c r="L533" s="257" t="e">
        <f>#REF!+J533</f>
        <v>#REF!</v>
      </c>
      <c r="M533" s="257" t="e">
        <f>#REF!+L533</f>
        <v>#REF!</v>
      </c>
      <c r="N533" s="257" t="e">
        <f>#REF!+L533</f>
        <v>#REF!</v>
      </c>
      <c r="O533" s="257" t="e">
        <f>#REF!+M533</f>
        <v>#REF!</v>
      </c>
    </row>
    <row r="534" spans="1:15" s="431" customFormat="1" ht="16.5" hidden="1" customHeight="1" x14ac:dyDescent="0.2">
      <c r="A534" s="259" t="s">
        <v>103</v>
      </c>
      <c r="B534" s="271">
        <v>801</v>
      </c>
      <c r="C534" s="271" t="s">
        <v>312</v>
      </c>
      <c r="D534" s="252" t="s">
        <v>196</v>
      </c>
      <c r="E534" s="260" t="s">
        <v>467</v>
      </c>
      <c r="F534" s="252" t="s">
        <v>104</v>
      </c>
      <c r="G534" s="257" t="e">
        <v>#REF!</v>
      </c>
      <c r="H534" s="257" t="e">
        <v>#REF!</v>
      </c>
      <c r="I534" s="257" t="e">
        <v>#REF!</v>
      </c>
      <c r="J534" s="257" t="e">
        <f>#REF!+H534</f>
        <v>#REF!</v>
      </c>
      <c r="K534" s="257" t="e">
        <f>#REF!+I534</f>
        <v>#REF!</v>
      </c>
      <c r="L534" s="257" t="e">
        <f>#REF!+J534</f>
        <v>#REF!</v>
      </c>
      <c r="M534" s="257" t="e">
        <f>#REF!+L534</f>
        <v>#REF!</v>
      </c>
      <c r="N534" s="257" t="e">
        <f>#REF!+L534</f>
        <v>#REF!</v>
      </c>
      <c r="O534" s="257" t="e">
        <f>#REF!+M534</f>
        <v>#REF!</v>
      </c>
    </row>
    <row r="535" spans="1:15" s="431" customFormat="1" ht="15.75" hidden="1" customHeight="1" x14ac:dyDescent="0.2">
      <c r="A535" s="259" t="s">
        <v>105</v>
      </c>
      <c r="B535" s="271">
        <v>801</v>
      </c>
      <c r="C535" s="271" t="s">
        <v>312</v>
      </c>
      <c r="D535" s="252" t="s">
        <v>196</v>
      </c>
      <c r="E535" s="260" t="s">
        <v>467</v>
      </c>
      <c r="F535" s="252" t="s">
        <v>106</v>
      </c>
      <c r="G535" s="257" t="e">
        <v>#REF!</v>
      </c>
      <c r="H535" s="257" t="e">
        <v>#REF!</v>
      </c>
      <c r="I535" s="257" t="e">
        <v>#REF!</v>
      </c>
      <c r="J535" s="257" t="e">
        <f>#REF!+H535</f>
        <v>#REF!</v>
      </c>
      <c r="K535" s="257" t="e">
        <f>#REF!+I535</f>
        <v>#REF!</v>
      </c>
      <c r="L535" s="257" t="e">
        <f>#REF!+J535</f>
        <v>#REF!</v>
      </c>
      <c r="M535" s="257" t="e">
        <f>#REF!+L535</f>
        <v>#REF!</v>
      </c>
      <c r="N535" s="257" t="e">
        <f>#REF!+L535</f>
        <v>#REF!</v>
      </c>
      <c r="O535" s="257" t="e">
        <f>#REF!+M535</f>
        <v>#REF!</v>
      </c>
    </row>
    <row r="536" spans="1:15" s="431" customFormat="1" ht="21.75" customHeight="1" x14ac:dyDescent="0.2">
      <c r="A536" s="259" t="s">
        <v>506</v>
      </c>
      <c r="B536" s="271">
        <v>801</v>
      </c>
      <c r="C536" s="271" t="s">
        <v>312</v>
      </c>
      <c r="D536" s="252" t="s">
        <v>196</v>
      </c>
      <c r="E536" s="260" t="s">
        <v>868</v>
      </c>
      <c r="F536" s="252"/>
      <c r="G536" s="257">
        <v>15455</v>
      </c>
      <c r="H536" s="257">
        <v>-1051</v>
      </c>
      <c r="I536" s="257">
        <v>13505</v>
      </c>
      <c r="J536" s="257" t="e">
        <f>J537+J538+J539+#REF!+J542+J544+J545+J546+J540+J541+J543</f>
        <v>#REF!</v>
      </c>
      <c r="K536" s="257" t="e">
        <f>L537+L538+L539+#REF!+L542+L544+L545+L546+L540+L541+L543</f>
        <v>#REF!</v>
      </c>
      <c r="L536" s="257">
        <f>L537+L538+L539+L542+L544+L545+L546+L540+L541+L543</f>
        <v>14920</v>
      </c>
      <c r="M536" s="257">
        <f t="shared" ref="M536:O536" si="448">M537+M538+M539+M542+M544+M545+M546+M540+M541+M543</f>
        <v>30</v>
      </c>
      <c r="N536" s="257">
        <f t="shared" si="448"/>
        <v>14950</v>
      </c>
      <c r="O536" s="257">
        <f t="shared" si="448"/>
        <v>14950</v>
      </c>
    </row>
    <row r="537" spans="1:15" s="431" customFormat="1" ht="18.75" customHeight="1" x14ac:dyDescent="0.2">
      <c r="A537" s="375" t="s">
        <v>907</v>
      </c>
      <c r="B537" s="271">
        <v>801</v>
      </c>
      <c r="C537" s="271" t="s">
        <v>312</v>
      </c>
      <c r="D537" s="252" t="s">
        <v>196</v>
      </c>
      <c r="E537" s="260" t="s">
        <v>868</v>
      </c>
      <c r="F537" s="252" t="s">
        <v>96</v>
      </c>
      <c r="G537" s="257">
        <v>9110</v>
      </c>
      <c r="H537" s="257">
        <v>-965</v>
      </c>
      <c r="I537" s="257">
        <v>9110</v>
      </c>
      <c r="J537" s="257">
        <v>1320</v>
      </c>
      <c r="K537" s="257">
        <f t="shared" ref="K537:L546" si="449">I537+J537</f>
        <v>10430</v>
      </c>
      <c r="L537" s="257">
        <v>10430</v>
      </c>
      <c r="M537" s="257">
        <v>0</v>
      </c>
      <c r="N537" s="257">
        <f t="shared" ref="N537:N546" si="450">L537+M537</f>
        <v>10430</v>
      </c>
      <c r="O537" s="257">
        <v>10430</v>
      </c>
    </row>
    <row r="538" spans="1:15" s="431" customFormat="1" ht="15.75" customHeight="1" x14ac:dyDescent="0.2">
      <c r="A538" s="453" t="s">
        <v>97</v>
      </c>
      <c r="B538" s="454">
        <v>801</v>
      </c>
      <c r="C538" s="455" t="s">
        <v>190</v>
      </c>
      <c r="D538" s="455" t="s">
        <v>196</v>
      </c>
      <c r="E538" s="456" t="s">
        <v>868</v>
      </c>
      <c r="F538" s="455" t="s">
        <v>98</v>
      </c>
      <c r="G538" s="457">
        <v>300</v>
      </c>
      <c r="H538" s="457">
        <v>0</v>
      </c>
      <c r="I538" s="457">
        <v>300</v>
      </c>
      <c r="J538" s="457">
        <v>-200</v>
      </c>
      <c r="K538" s="457">
        <f t="shared" si="449"/>
        <v>100</v>
      </c>
      <c r="L538" s="457">
        <v>0</v>
      </c>
      <c r="M538" s="457">
        <v>30</v>
      </c>
      <c r="N538" s="457">
        <f t="shared" si="450"/>
        <v>30</v>
      </c>
      <c r="O538" s="457">
        <v>30</v>
      </c>
    </row>
    <row r="539" spans="1:15" s="431" customFormat="1" ht="35.25" customHeight="1" x14ac:dyDescent="0.2">
      <c r="A539" s="375" t="s">
        <v>898</v>
      </c>
      <c r="B539" s="271">
        <v>801</v>
      </c>
      <c r="C539" s="252" t="s">
        <v>190</v>
      </c>
      <c r="D539" s="252" t="s">
        <v>196</v>
      </c>
      <c r="E539" s="260" t="s">
        <v>868</v>
      </c>
      <c r="F539" s="252" t="s">
        <v>896</v>
      </c>
      <c r="G539" s="257">
        <v>2755</v>
      </c>
      <c r="H539" s="257">
        <v>-292</v>
      </c>
      <c r="I539" s="257">
        <v>2755</v>
      </c>
      <c r="J539" s="257">
        <v>395</v>
      </c>
      <c r="K539" s="257">
        <f t="shared" si="449"/>
        <v>3150</v>
      </c>
      <c r="L539" s="257">
        <v>3150</v>
      </c>
      <c r="M539" s="257">
        <v>0</v>
      </c>
      <c r="N539" s="257">
        <f t="shared" si="450"/>
        <v>3150</v>
      </c>
      <c r="O539" s="257">
        <v>3150</v>
      </c>
    </row>
    <row r="540" spans="1:15" s="431" customFormat="1" ht="15" hidden="1" customHeight="1" x14ac:dyDescent="0.2">
      <c r="A540" s="375" t="s">
        <v>907</v>
      </c>
      <c r="B540" s="271">
        <v>801</v>
      </c>
      <c r="C540" s="271" t="s">
        <v>312</v>
      </c>
      <c r="D540" s="252" t="s">
        <v>196</v>
      </c>
      <c r="E540" s="260" t="s">
        <v>1293</v>
      </c>
      <c r="F540" s="252" t="s">
        <v>96</v>
      </c>
      <c r="G540" s="257">
        <v>1500</v>
      </c>
      <c r="H540" s="257">
        <v>0</v>
      </c>
      <c r="I540" s="257">
        <v>0</v>
      </c>
      <c r="J540" s="257">
        <v>0</v>
      </c>
      <c r="K540" s="257">
        <f t="shared" si="449"/>
        <v>0</v>
      </c>
      <c r="L540" s="257">
        <v>0</v>
      </c>
      <c r="M540" s="257">
        <v>0</v>
      </c>
      <c r="N540" s="257">
        <f t="shared" si="450"/>
        <v>0</v>
      </c>
      <c r="O540" s="257">
        <v>0</v>
      </c>
    </row>
    <row r="541" spans="1:15" s="431" customFormat="1" ht="15" hidden="1" customHeight="1" x14ac:dyDescent="0.2">
      <c r="A541" s="458" t="s">
        <v>898</v>
      </c>
      <c r="B541" s="370">
        <v>801</v>
      </c>
      <c r="C541" s="370" t="s">
        <v>312</v>
      </c>
      <c r="D541" s="356" t="s">
        <v>196</v>
      </c>
      <c r="E541" s="371" t="s">
        <v>1293</v>
      </c>
      <c r="F541" s="356" t="s">
        <v>896</v>
      </c>
      <c r="G541" s="279">
        <v>450</v>
      </c>
      <c r="H541" s="279">
        <v>0</v>
      </c>
      <c r="I541" s="279">
        <v>0</v>
      </c>
      <c r="J541" s="279">
        <v>0</v>
      </c>
      <c r="K541" s="279">
        <f t="shared" si="449"/>
        <v>0</v>
      </c>
      <c r="L541" s="279">
        <v>0</v>
      </c>
      <c r="M541" s="279">
        <v>0</v>
      </c>
      <c r="N541" s="279">
        <f t="shared" si="450"/>
        <v>0</v>
      </c>
      <c r="O541" s="279">
        <v>0</v>
      </c>
    </row>
    <row r="542" spans="1:15" s="431" customFormat="1" ht="21.75" customHeight="1" x14ac:dyDescent="0.2">
      <c r="A542" s="259" t="s">
        <v>93</v>
      </c>
      <c r="B542" s="271">
        <v>801</v>
      </c>
      <c r="C542" s="271" t="s">
        <v>312</v>
      </c>
      <c r="D542" s="252" t="s">
        <v>196</v>
      </c>
      <c r="E542" s="260" t="s">
        <v>868</v>
      </c>
      <c r="F542" s="252" t="s">
        <v>94</v>
      </c>
      <c r="G542" s="257">
        <v>600</v>
      </c>
      <c r="H542" s="257">
        <v>-400</v>
      </c>
      <c r="I542" s="257">
        <v>600</v>
      </c>
      <c r="J542" s="257">
        <f>-400+540</f>
        <v>140</v>
      </c>
      <c r="K542" s="257">
        <f t="shared" si="449"/>
        <v>740</v>
      </c>
      <c r="L542" s="257">
        <v>740</v>
      </c>
      <c r="M542" s="257">
        <v>0</v>
      </c>
      <c r="N542" s="257">
        <f t="shared" si="450"/>
        <v>740</v>
      </c>
      <c r="O542" s="257">
        <v>740</v>
      </c>
    </row>
    <row r="543" spans="1:15" s="431" customFormat="1" ht="21.75" customHeight="1" x14ac:dyDescent="0.2">
      <c r="A543" s="259" t="s">
        <v>1167</v>
      </c>
      <c r="B543" s="271">
        <v>801</v>
      </c>
      <c r="C543" s="271" t="s">
        <v>312</v>
      </c>
      <c r="D543" s="252" t="s">
        <v>196</v>
      </c>
      <c r="E543" s="260" t="s">
        <v>868</v>
      </c>
      <c r="F543" s="252" t="s">
        <v>1166</v>
      </c>
      <c r="G543" s="257">
        <v>0</v>
      </c>
      <c r="H543" s="257">
        <v>400</v>
      </c>
      <c r="I543" s="257">
        <v>0</v>
      </c>
      <c r="J543" s="257">
        <v>400</v>
      </c>
      <c r="K543" s="257">
        <f t="shared" si="449"/>
        <v>400</v>
      </c>
      <c r="L543" s="257">
        <v>400</v>
      </c>
      <c r="M543" s="257">
        <v>0</v>
      </c>
      <c r="N543" s="257">
        <f t="shared" si="450"/>
        <v>400</v>
      </c>
      <c r="O543" s="257">
        <v>400</v>
      </c>
    </row>
    <row r="544" spans="1:15" s="431" customFormat="1" ht="15.75" customHeight="1" x14ac:dyDescent="0.2">
      <c r="A544" s="259" t="s">
        <v>103</v>
      </c>
      <c r="B544" s="271">
        <v>801</v>
      </c>
      <c r="C544" s="271" t="s">
        <v>312</v>
      </c>
      <c r="D544" s="252" t="s">
        <v>196</v>
      </c>
      <c r="E544" s="260" t="s">
        <v>868</v>
      </c>
      <c r="F544" s="252" t="s">
        <v>104</v>
      </c>
      <c r="G544" s="257">
        <v>200</v>
      </c>
      <c r="H544" s="257">
        <v>0</v>
      </c>
      <c r="I544" s="257">
        <v>200</v>
      </c>
      <c r="J544" s="257">
        <v>0</v>
      </c>
      <c r="K544" s="257">
        <f t="shared" si="449"/>
        <v>200</v>
      </c>
      <c r="L544" s="257">
        <v>200</v>
      </c>
      <c r="M544" s="257">
        <v>0</v>
      </c>
      <c r="N544" s="257">
        <f t="shared" si="450"/>
        <v>200</v>
      </c>
      <c r="O544" s="257">
        <v>200</v>
      </c>
    </row>
    <row r="545" spans="1:15" s="431" customFormat="1" ht="14.25" hidden="1" customHeight="1" x14ac:dyDescent="0.2">
      <c r="A545" s="259" t="s">
        <v>105</v>
      </c>
      <c r="B545" s="271">
        <v>801</v>
      </c>
      <c r="C545" s="271" t="s">
        <v>312</v>
      </c>
      <c r="D545" s="252" t="s">
        <v>196</v>
      </c>
      <c r="E545" s="260" t="s">
        <v>868</v>
      </c>
      <c r="F545" s="252" t="s">
        <v>106</v>
      </c>
      <c r="G545" s="257">
        <v>0</v>
      </c>
      <c r="H545" s="257">
        <v>0</v>
      </c>
      <c r="I545" s="257">
        <v>0</v>
      </c>
      <c r="J545" s="257">
        <v>0</v>
      </c>
      <c r="K545" s="257">
        <f t="shared" si="449"/>
        <v>0</v>
      </c>
      <c r="L545" s="257">
        <f t="shared" si="449"/>
        <v>0</v>
      </c>
      <c r="M545" s="257">
        <v>0</v>
      </c>
      <c r="N545" s="257">
        <f t="shared" si="450"/>
        <v>0</v>
      </c>
      <c r="O545" s="257">
        <f t="shared" ref="O545" si="451">M545+N545</f>
        <v>0</v>
      </c>
    </row>
    <row r="546" spans="1:15" s="431" customFormat="1" ht="18" hidden="1" customHeight="1" x14ac:dyDescent="0.2">
      <c r="A546" s="375" t="s">
        <v>906</v>
      </c>
      <c r="B546" s="271">
        <v>801</v>
      </c>
      <c r="C546" s="271" t="s">
        <v>312</v>
      </c>
      <c r="D546" s="252" t="s">
        <v>196</v>
      </c>
      <c r="E546" s="260" t="s">
        <v>868</v>
      </c>
      <c r="F546" s="252" t="s">
        <v>905</v>
      </c>
      <c r="G546" s="257">
        <v>0</v>
      </c>
      <c r="H546" s="257">
        <v>206</v>
      </c>
      <c r="I546" s="257">
        <v>0</v>
      </c>
      <c r="J546" s="257">
        <v>0</v>
      </c>
      <c r="K546" s="257">
        <f t="shared" si="449"/>
        <v>0</v>
      </c>
      <c r="L546" s="257">
        <v>0</v>
      </c>
      <c r="M546" s="257">
        <v>0</v>
      </c>
      <c r="N546" s="257">
        <f t="shared" si="450"/>
        <v>0</v>
      </c>
      <c r="O546" s="257">
        <v>0</v>
      </c>
    </row>
    <row r="547" spans="1:15" s="431" customFormat="1" ht="15.75" hidden="1" customHeight="1" x14ac:dyDescent="0.2">
      <c r="A547" s="397" t="s">
        <v>893</v>
      </c>
      <c r="B547" s="271">
        <v>801</v>
      </c>
      <c r="C547" s="271" t="s">
        <v>312</v>
      </c>
      <c r="D547" s="252" t="s">
        <v>196</v>
      </c>
      <c r="E547" s="260" t="s">
        <v>892</v>
      </c>
      <c r="F547" s="252"/>
      <c r="G547" s="257">
        <v>878</v>
      </c>
      <c r="H547" s="257">
        <v>-878</v>
      </c>
      <c r="I547" s="257">
        <v>878</v>
      </c>
      <c r="J547" s="257">
        <f t="shared" ref="J547" si="452">J548+J549</f>
        <v>-878</v>
      </c>
      <c r="K547" s="257">
        <f>L548+L549</f>
        <v>0</v>
      </c>
      <c r="L547" s="257">
        <f t="shared" ref="L547" si="453">L548+L549</f>
        <v>0</v>
      </c>
      <c r="M547" s="257">
        <f t="shared" ref="M547:N547" si="454">M548+M549</f>
        <v>0</v>
      </c>
      <c r="N547" s="257">
        <f t="shared" si="454"/>
        <v>0</v>
      </c>
      <c r="O547" s="257">
        <f t="shared" ref="O547" si="455">O548+O549</f>
        <v>0</v>
      </c>
    </row>
    <row r="548" spans="1:15" s="431" customFormat="1" ht="17.25" hidden="1" customHeight="1" x14ac:dyDescent="0.2">
      <c r="A548" s="375" t="s">
        <v>907</v>
      </c>
      <c r="B548" s="271">
        <v>801</v>
      </c>
      <c r="C548" s="271" t="s">
        <v>312</v>
      </c>
      <c r="D548" s="252" t="s">
        <v>196</v>
      </c>
      <c r="E548" s="260" t="s">
        <v>892</v>
      </c>
      <c r="F548" s="252" t="s">
        <v>96</v>
      </c>
      <c r="G548" s="257">
        <v>674</v>
      </c>
      <c r="H548" s="257">
        <v>-674</v>
      </c>
      <c r="I548" s="257">
        <v>674</v>
      </c>
      <c r="J548" s="257">
        <v>-674</v>
      </c>
      <c r="K548" s="257">
        <f t="shared" ref="K548:K549" si="456">I548+J548</f>
        <v>0</v>
      </c>
      <c r="L548" s="257">
        <v>0</v>
      </c>
      <c r="M548" s="257">
        <v>0</v>
      </c>
      <c r="N548" s="257">
        <f>L548+M548</f>
        <v>0</v>
      </c>
      <c r="O548" s="257">
        <v>0</v>
      </c>
    </row>
    <row r="549" spans="1:15" s="431" customFormat="1" ht="30" hidden="1" customHeight="1" x14ac:dyDescent="0.2">
      <c r="A549" s="375" t="s">
        <v>898</v>
      </c>
      <c r="B549" s="271">
        <v>801</v>
      </c>
      <c r="C549" s="271" t="s">
        <v>312</v>
      </c>
      <c r="D549" s="252" t="s">
        <v>196</v>
      </c>
      <c r="E549" s="260" t="s">
        <v>892</v>
      </c>
      <c r="F549" s="252" t="s">
        <v>896</v>
      </c>
      <c r="G549" s="257">
        <v>204</v>
      </c>
      <c r="H549" s="257">
        <v>-204</v>
      </c>
      <c r="I549" s="257">
        <v>204</v>
      </c>
      <c r="J549" s="257">
        <v>-204</v>
      </c>
      <c r="K549" s="257">
        <f t="shared" si="456"/>
        <v>0</v>
      </c>
      <c r="L549" s="257">
        <v>0</v>
      </c>
      <c r="M549" s="257">
        <v>0</v>
      </c>
      <c r="N549" s="257">
        <f>L549+M549</f>
        <v>0</v>
      </c>
      <c r="O549" s="257">
        <v>0</v>
      </c>
    </row>
    <row r="550" spans="1:15" s="431" customFormat="1" ht="49.5" customHeight="1" x14ac:dyDescent="0.2">
      <c r="A550" s="259" t="s">
        <v>1273</v>
      </c>
      <c r="B550" s="271">
        <v>801</v>
      </c>
      <c r="C550" s="271" t="s">
        <v>312</v>
      </c>
      <c r="D550" s="252" t="s">
        <v>196</v>
      </c>
      <c r="E550" s="260" t="s">
        <v>1272</v>
      </c>
      <c r="F550" s="252"/>
      <c r="G550" s="257">
        <v>55.4</v>
      </c>
      <c r="H550" s="257">
        <v>4.0999999999999996</v>
      </c>
      <c r="I550" s="257">
        <v>59.5</v>
      </c>
      <c r="J550" s="257">
        <f t="shared" ref="J550" si="457">J551</f>
        <v>2.2999999999999998</v>
      </c>
      <c r="K550" s="257">
        <f>L551</f>
        <v>64.3</v>
      </c>
      <c r="L550" s="257">
        <f>L551+L552</f>
        <v>64.3</v>
      </c>
      <c r="M550" s="257">
        <f t="shared" ref="M550:O550" si="458">M551+M552</f>
        <v>0.60000000000000853</v>
      </c>
      <c r="N550" s="257">
        <f t="shared" si="458"/>
        <v>64.900000000000006</v>
      </c>
      <c r="O550" s="257">
        <f t="shared" si="458"/>
        <v>64.900000000000006</v>
      </c>
    </row>
    <row r="551" spans="1:15" s="431" customFormat="1" ht="17.25" customHeight="1" x14ac:dyDescent="0.2">
      <c r="A551" s="259" t="s">
        <v>93</v>
      </c>
      <c r="B551" s="271">
        <v>801</v>
      </c>
      <c r="C551" s="271" t="s">
        <v>312</v>
      </c>
      <c r="D551" s="252" t="s">
        <v>196</v>
      </c>
      <c r="E551" s="260" t="s">
        <v>810</v>
      </c>
      <c r="F551" s="252" t="s">
        <v>94</v>
      </c>
      <c r="G551" s="257">
        <v>55.4</v>
      </c>
      <c r="H551" s="257">
        <v>4.0999999999999996</v>
      </c>
      <c r="I551" s="257">
        <v>59.5</v>
      </c>
      <c r="J551" s="257">
        <v>2.2999999999999998</v>
      </c>
      <c r="K551" s="257">
        <f t="shared" ref="K551" si="459">I551+J551</f>
        <v>61.8</v>
      </c>
      <c r="L551" s="257">
        <v>64.3</v>
      </c>
      <c r="M551" s="257">
        <v>-64.3</v>
      </c>
      <c r="N551" s="257">
        <f>L551+M551</f>
        <v>0</v>
      </c>
      <c r="O551" s="257">
        <v>0</v>
      </c>
    </row>
    <row r="552" spans="1:15" s="431" customFormat="1" ht="17.25" customHeight="1" x14ac:dyDescent="0.2">
      <c r="A552" s="259" t="s">
        <v>93</v>
      </c>
      <c r="B552" s="271">
        <v>801</v>
      </c>
      <c r="C552" s="271" t="s">
        <v>312</v>
      </c>
      <c r="D552" s="252" t="s">
        <v>196</v>
      </c>
      <c r="E552" s="260" t="s">
        <v>1272</v>
      </c>
      <c r="F552" s="252" t="s">
        <v>94</v>
      </c>
      <c r="G552" s="257"/>
      <c r="H552" s="257"/>
      <c r="I552" s="257"/>
      <c r="J552" s="257"/>
      <c r="K552" s="257"/>
      <c r="L552" s="257">
        <v>0</v>
      </c>
      <c r="M552" s="257">
        <v>64.900000000000006</v>
      </c>
      <c r="N552" s="257">
        <f>L552+M552</f>
        <v>64.900000000000006</v>
      </c>
      <c r="O552" s="257">
        <v>64.900000000000006</v>
      </c>
    </row>
    <row r="553" spans="1:15" s="431" customFormat="1" ht="37.5" customHeight="1" x14ac:dyDescent="0.2">
      <c r="A553" s="259" t="s">
        <v>943</v>
      </c>
      <c r="B553" s="249">
        <v>801</v>
      </c>
      <c r="C553" s="249" t="s">
        <v>312</v>
      </c>
      <c r="D553" s="250" t="s">
        <v>196</v>
      </c>
      <c r="E553" s="365" t="s">
        <v>1266</v>
      </c>
      <c r="F553" s="250"/>
      <c r="G553" s="275">
        <v>2386</v>
      </c>
      <c r="H553" s="275">
        <v>103</v>
      </c>
      <c r="I553" s="275">
        <v>2489</v>
      </c>
      <c r="J553" s="275" t="e">
        <f>J554+J555+J556+#REF!+J557</f>
        <v>#REF!</v>
      </c>
      <c r="K553" s="275" t="e">
        <f>L554+L555+L556+#REF!+L557</f>
        <v>#REF!</v>
      </c>
      <c r="L553" s="275">
        <f>L554+L555+L556+L557+L558+L559+L560+L561</f>
        <v>2627.4</v>
      </c>
      <c r="M553" s="275">
        <f t="shared" ref="M553:O553" si="460">M554+M555+M556+M557+M558+M559+M560+M561</f>
        <v>310.79999999999984</v>
      </c>
      <c r="N553" s="275">
        <f t="shared" si="460"/>
        <v>2938.2000000000003</v>
      </c>
      <c r="O553" s="275">
        <f t="shared" si="460"/>
        <v>2938.2000000000003</v>
      </c>
    </row>
    <row r="554" spans="1:15" s="431" customFormat="1" ht="18.75" customHeight="1" x14ac:dyDescent="0.2">
      <c r="A554" s="259" t="s">
        <v>95</v>
      </c>
      <c r="B554" s="271">
        <v>801</v>
      </c>
      <c r="C554" s="271" t="s">
        <v>312</v>
      </c>
      <c r="D554" s="252" t="s">
        <v>196</v>
      </c>
      <c r="E554" s="260" t="s">
        <v>871</v>
      </c>
      <c r="F554" s="252" t="s">
        <v>96</v>
      </c>
      <c r="G554" s="257">
        <v>1388</v>
      </c>
      <c r="H554" s="257">
        <v>298</v>
      </c>
      <c r="I554" s="257">
        <v>1388</v>
      </c>
      <c r="J554" s="257">
        <v>362.9</v>
      </c>
      <c r="K554" s="257">
        <f t="shared" ref="K554:K557" si="461">I554+J554</f>
        <v>1750.9</v>
      </c>
      <c r="L554" s="257">
        <v>1857.6000000000001</v>
      </c>
      <c r="M554" s="257">
        <v>-1857.6</v>
      </c>
      <c r="N554" s="257">
        <f t="shared" ref="N554:N561" si="462">L554+M554</f>
        <v>0</v>
      </c>
      <c r="O554" s="257">
        <v>0</v>
      </c>
    </row>
    <row r="555" spans="1:15" s="431" customFormat="1" ht="15.75" customHeight="1" x14ac:dyDescent="0.2">
      <c r="A555" s="259" t="s">
        <v>97</v>
      </c>
      <c r="B555" s="271">
        <v>801</v>
      </c>
      <c r="C555" s="271" t="s">
        <v>312</v>
      </c>
      <c r="D555" s="252" t="s">
        <v>196</v>
      </c>
      <c r="E555" s="260" t="s">
        <v>871</v>
      </c>
      <c r="F555" s="252" t="s">
        <v>98</v>
      </c>
      <c r="G555" s="257">
        <v>10</v>
      </c>
      <c r="H555" s="257">
        <v>0</v>
      </c>
      <c r="I555" s="257">
        <v>10</v>
      </c>
      <c r="J555" s="257">
        <v>0</v>
      </c>
      <c r="K555" s="257">
        <f t="shared" si="461"/>
        <v>10</v>
      </c>
      <c r="L555" s="257">
        <v>130</v>
      </c>
      <c r="M555" s="257">
        <v>-130</v>
      </c>
      <c r="N555" s="257">
        <f t="shared" si="462"/>
        <v>0</v>
      </c>
      <c r="O555" s="257">
        <v>0</v>
      </c>
    </row>
    <row r="556" spans="1:15" s="431" customFormat="1" ht="37.5" customHeight="1" x14ac:dyDescent="0.2">
      <c r="A556" s="375" t="s">
        <v>898</v>
      </c>
      <c r="B556" s="271">
        <v>801</v>
      </c>
      <c r="C556" s="271" t="s">
        <v>312</v>
      </c>
      <c r="D556" s="252" t="s">
        <v>196</v>
      </c>
      <c r="E556" s="260" t="s">
        <v>871</v>
      </c>
      <c r="F556" s="252" t="s">
        <v>896</v>
      </c>
      <c r="G556" s="257">
        <v>419</v>
      </c>
      <c r="H556" s="257">
        <v>90</v>
      </c>
      <c r="I556" s="257">
        <v>419</v>
      </c>
      <c r="J556" s="257">
        <v>109.8</v>
      </c>
      <c r="K556" s="257">
        <f t="shared" si="461"/>
        <v>528.79999999999995</v>
      </c>
      <c r="L556" s="257">
        <v>560.9</v>
      </c>
      <c r="M556" s="257">
        <v>-560.9</v>
      </c>
      <c r="N556" s="257">
        <f t="shared" si="462"/>
        <v>0</v>
      </c>
      <c r="O556" s="257">
        <v>0</v>
      </c>
    </row>
    <row r="557" spans="1:15" s="431" customFormat="1" ht="20.25" customHeight="1" x14ac:dyDescent="0.2">
      <c r="A557" s="259" t="s">
        <v>93</v>
      </c>
      <c r="B557" s="271">
        <v>801</v>
      </c>
      <c r="C557" s="271" t="s">
        <v>312</v>
      </c>
      <c r="D557" s="252" t="s">
        <v>196</v>
      </c>
      <c r="E557" s="260" t="s">
        <v>871</v>
      </c>
      <c r="F557" s="252" t="s">
        <v>94</v>
      </c>
      <c r="G557" s="257">
        <v>559</v>
      </c>
      <c r="H557" s="257">
        <v>-285</v>
      </c>
      <c r="I557" s="257">
        <v>662</v>
      </c>
      <c r="J557" s="257">
        <v>-532</v>
      </c>
      <c r="K557" s="257">
        <f t="shared" si="461"/>
        <v>130</v>
      </c>
      <c r="L557" s="257">
        <v>78.900000000000006</v>
      </c>
      <c r="M557" s="257">
        <v>-78.900000000000006</v>
      </c>
      <c r="N557" s="257">
        <f t="shared" si="462"/>
        <v>0</v>
      </c>
      <c r="O557" s="257">
        <v>0</v>
      </c>
    </row>
    <row r="558" spans="1:15" s="431" customFormat="1" ht="20.25" customHeight="1" x14ac:dyDescent="0.2">
      <c r="A558" s="259" t="s">
        <v>95</v>
      </c>
      <c r="B558" s="271">
        <v>801</v>
      </c>
      <c r="C558" s="271" t="s">
        <v>312</v>
      </c>
      <c r="D558" s="252" t="s">
        <v>196</v>
      </c>
      <c r="E558" s="260" t="s">
        <v>1266</v>
      </c>
      <c r="F558" s="252" t="s">
        <v>96</v>
      </c>
      <c r="G558" s="257"/>
      <c r="H558" s="257"/>
      <c r="I558" s="257"/>
      <c r="J558" s="257"/>
      <c r="K558" s="257"/>
      <c r="L558" s="257">
        <v>0</v>
      </c>
      <c r="M558" s="257">
        <v>2103.5</v>
      </c>
      <c r="N558" s="257">
        <f t="shared" si="462"/>
        <v>2103.5</v>
      </c>
      <c r="O558" s="257">
        <v>2103.5</v>
      </c>
    </row>
    <row r="559" spans="1:15" s="431" customFormat="1" ht="20.25" hidden="1" customHeight="1" x14ac:dyDescent="0.2">
      <c r="A559" s="259" t="s">
        <v>97</v>
      </c>
      <c r="B559" s="271">
        <v>801</v>
      </c>
      <c r="C559" s="271" t="s">
        <v>312</v>
      </c>
      <c r="D559" s="252" t="s">
        <v>196</v>
      </c>
      <c r="E559" s="260" t="s">
        <v>1266</v>
      </c>
      <c r="F559" s="252" t="s">
        <v>98</v>
      </c>
      <c r="G559" s="257"/>
      <c r="H559" s="257"/>
      <c r="I559" s="257"/>
      <c r="J559" s="257"/>
      <c r="K559" s="257"/>
      <c r="L559" s="257">
        <v>0</v>
      </c>
      <c r="M559" s="257">
        <v>0</v>
      </c>
      <c r="N559" s="257">
        <f t="shared" si="462"/>
        <v>0</v>
      </c>
      <c r="O559" s="257">
        <v>0</v>
      </c>
    </row>
    <row r="560" spans="1:15" s="431" customFormat="1" ht="33" customHeight="1" x14ac:dyDescent="0.2">
      <c r="A560" s="375" t="s">
        <v>898</v>
      </c>
      <c r="B560" s="271">
        <v>801</v>
      </c>
      <c r="C560" s="271" t="s">
        <v>312</v>
      </c>
      <c r="D560" s="252" t="s">
        <v>196</v>
      </c>
      <c r="E560" s="260" t="s">
        <v>1266</v>
      </c>
      <c r="F560" s="252" t="s">
        <v>896</v>
      </c>
      <c r="G560" s="257"/>
      <c r="H560" s="257"/>
      <c r="I560" s="257"/>
      <c r="J560" s="257"/>
      <c r="K560" s="257"/>
      <c r="L560" s="257">
        <v>0</v>
      </c>
      <c r="M560" s="257">
        <v>635.29999999999995</v>
      </c>
      <c r="N560" s="257">
        <f t="shared" si="462"/>
        <v>635.29999999999995</v>
      </c>
      <c r="O560" s="257">
        <v>635.29999999999995</v>
      </c>
    </row>
    <row r="561" spans="1:15" s="431" customFormat="1" ht="20.25" customHeight="1" x14ac:dyDescent="0.2">
      <c r="A561" s="259" t="s">
        <v>93</v>
      </c>
      <c r="B561" s="271">
        <v>801</v>
      </c>
      <c r="C561" s="271" t="s">
        <v>312</v>
      </c>
      <c r="D561" s="252" t="s">
        <v>196</v>
      </c>
      <c r="E561" s="260" t="s">
        <v>1266</v>
      </c>
      <c r="F561" s="252" t="s">
        <v>94</v>
      </c>
      <c r="G561" s="257"/>
      <c r="H561" s="257"/>
      <c r="I561" s="257"/>
      <c r="J561" s="257"/>
      <c r="K561" s="257"/>
      <c r="L561" s="257">
        <v>0</v>
      </c>
      <c r="M561" s="257">
        <v>199.4</v>
      </c>
      <c r="N561" s="257">
        <f t="shared" si="462"/>
        <v>199.4</v>
      </c>
      <c r="O561" s="257">
        <v>199.4</v>
      </c>
    </row>
    <row r="562" spans="1:15" s="432" customFormat="1" ht="15.75" customHeight="1" x14ac:dyDescent="0.2">
      <c r="A562" s="462" t="s">
        <v>197</v>
      </c>
      <c r="B562" s="249">
        <v>801</v>
      </c>
      <c r="C562" s="249" t="s">
        <v>190</v>
      </c>
      <c r="D562" s="250" t="s">
        <v>198</v>
      </c>
      <c r="E562" s="365"/>
      <c r="F562" s="250"/>
      <c r="G562" s="275">
        <v>8.4</v>
      </c>
      <c r="H562" s="275">
        <v>-0.9</v>
      </c>
      <c r="I562" s="275">
        <v>3</v>
      </c>
      <c r="J562" s="275">
        <f t="shared" ref="J562:M563" si="463">J563</f>
        <v>0.1</v>
      </c>
      <c r="K562" s="275">
        <f>L563</f>
        <v>1.2</v>
      </c>
      <c r="L562" s="275">
        <f t="shared" ref="L562:O562" si="464">L563</f>
        <v>1.2</v>
      </c>
      <c r="M562" s="275">
        <f t="shared" si="463"/>
        <v>3.8</v>
      </c>
      <c r="N562" s="275">
        <f>N563</f>
        <v>5</v>
      </c>
      <c r="O562" s="275">
        <f t="shared" si="464"/>
        <v>81.400000000000006</v>
      </c>
    </row>
    <row r="563" spans="1:15" s="431" customFormat="1" ht="33" customHeight="1" x14ac:dyDescent="0.2">
      <c r="A563" s="259" t="s">
        <v>843</v>
      </c>
      <c r="B563" s="271">
        <v>801</v>
      </c>
      <c r="C563" s="271" t="s">
        <v>312</v>
      </c>
      <c r="D563" s="252" t="s">
        <v>198</v>
      </c>
      <c r="E563" s="260" t="s">
        <v>1286</v>
      </c>
      <c r="F563" s="252"/>
      <c r="G563" s="257">
        <v>8.4</v>
      </c>
      <c r="H563" s="257">
        <v>-0.9</v>
      </c>
      <c r="I563" s="257">
        <v>3</v>
      </c>
      <c r="J563" s="257">
        <f t="shared" si="463"/>
        <v>0.1</v>
      </c>
      <c r="K563" s="257">
        <f>L564</f>
        <v>1.2</v>
      </c>
      <c r="L563" s="257">
        <f>L564+L565</f>
        <v>1.2</v>
      </c>
      <c r="M563" s="257">
        <f t="shared" ref="M563:O563" si="465">M564+M565</f>
        <v>3.8</v>
      </c>
      <c r="N563" s="257">
        <f t="shared" si="465"/>
        <v>5</v>
      </c>
      <c r="O563" s="257">
        <f t="shared" si="465"/>
        <v>81.400000000000006</v>
      </c>
    </row>
    <row r="564" spans="1:15" s="431" customFormat="1" ht="16.5" customHeight="1" x14ac:dyDescent="0.2">
      <c r="A564" s="259" t="s">
        <v>93</v>
      </c>
      <c r="B564" s="271">
        <v>801</v>
      </c>
      <c r="C564" s="271" t="s">
        <v>312</v>
      </c>
      <c r="D564" s="252" t="s">
        <v>198</v>
      </c>
      <c r="E564" s="260" t="s">
        <v>844</v>
      </c>
      <c r="F564" s="252" t="s">
        <v>94</v>
      </c>
      <c r="G564" s="257">
        <v>8.4</v>
      </c>
      <c r="H564" s="257">
        <v>-0.9</v>
      </c>
      <c r="I564" s="257">
        <v>3</v>
      </c>
      <c r="J564" s="257">
        <v>0.1</v>
      </c>
      <c r="K564" s="257">
        <f t="shared" ref="K564:K568" si="466">I564+J564</f>
        <v>3.1</v>
      </c>
      <c r="L564" s="257">
        <v>1.2</v>
      </c>
      <c r="M564" s="257">
        <v>-1.2</v>
      </c>
      <c r="N564" s="257">
        <f>L564+M564</f>
        <v>0</v>
      </c>
      <c r="O564" s="257">
        <v>0</v>
      </c>
    </row>
    <row r="565" spans="1:15" s="431" customFormat="1" ht="16.5" customHeight="1" x14ac:dyDescent="0.2">
      <c r="A565" s="259" t="s">
        <v>93</v>
      </c>
      <c r="B565" s="271">
        <v>801</v>
      </c>
      <c r="C565" s="271" t="s">
        <v>312</v>
      </c>
      <c r="D565" s="252" t="s">
        <v>198</v>
      </c>
      <c r="E565" s="260" t="s">
        <v>1286</v>
      </c>
      <c r="F565" s="252" t="s">
        <v>94</v>
      </c>
      <c r="G565" s="257"/>
      <c r="H565" s="257"/>
      <c r="I565" s="257"/>
      <c r="J565" s="257"/>
      <c r="K565" s="257"/>
      <c r="L565" s="257">
        <v>0</v>
      </c>
      <c r="M565" s="257">
        <v>5</v>
      </c>
      <c r="N565" s="257">
        <f>L565+M565</f>
        <v>5</v>
      </c>
      <c r="O565" s="257">
        <v>81.400000000000006</v>
      </c>
    </row>
    <row r="566" spans="1:15" s="432" customFormat="1" ht="24" hidden="1" customHeight="1" x14ac:dyDescent="0.2">
      <c r="A566" s="462" t="s">
        <v>201</v>
      </c>
      <c r="B566" s="249">
        <v>801</v>
      </c>
      <c r="C566" s="249" t="s">
        <v>312</v>
      </c>
      <c r="D566" s="250" t="s">
        <v>202</v>
      </c>
      <c r="E566" s="365"/>
      <c r="F566" s="250"/>
      <c r="G566" s="257">
        <v>18</v>
      </c>
      <c r="H566" s="257">
        <v>29</v>
      </c>
      <c r="I566" s="257">
        <v>47</v>
      </c>
      <c r="J566" s="257">
        <f t="shared" ref="J566:J567" si="467">H566+I566</f>
        <v>76</v>
      </c>
      <c r="K566" s="257">
        <f t="shared" si="466"/>
        <v>123</v>
      </c>
      <c r="L566" s="257">
        <f>L567</f>
        <v>0</v>
      </c>
      <c r="M566" s="257">
        <f>L566+L566</f>
        <v>0</v>
      </c>
      <c r="N566" s="257">
        <f>L566+M566</f>
        <v>0</v>
      </c>
      <c r="O566" s="257">
        <f>M566+N566</f>
        <v>0</v>
      </c>
    </row>
    <row r="567" spans="1:15" s="431" customFormat="1" ht="29.25" hidden="1" customHeight="1" x14ac:dyDescent="0.2">
      <c r="A567" s="259" t="s">
        <v>452</v>
      </c>
      <c r="B567" s="271">
        <v>801</v>
      </c>
      <c r="C567" s="271" t="s">
        <v>312</v>
      </c>
      <c r="D567" s="252" t="s">
        <v>202</v>
      </c>
      <c r="E567" s="260" t="s">
        <v>867</v>
      </c>
      <c r="F567" s="252"/>
      <c r="G567" s="257">
        <v>18</v>
      </c>
      <c r="H567" s="257">
        <v>29</v>
      </c>
      <c r="I567" s="257">
        <v>47</v>
      </c>
      <c r="J567" s="257">
        <f t="shared" si="467"/>
        <v>76</v>
      </c>
      <c r="K567" s="257">
        <f t="shared" si="466"/>
        <v>123</v>
      </c>
      <c r="L567" s="257">
        <f>L568</f>
        <v>0</v>
      </c>
      <c r="M567" s="257">
        <f>L567+L567</f>
        <v>0</v>
      </c>
      <c r="N567" s="257">
        <f>L567+M567</f>
        <v>0</v>
      </c>
      <c r="O567" s="257">
        <f>M567+N567</f>
        <v>0</v>
      </c>
    </row>
    <row r="568" spans="1:15" s="431" customFormat="1" ht="24" hidden="1" customHeight="1" x14ac:dyDescent="0.2">
      <c r="A568" s="259" t="s">
        <v>93</v>
      </c>
      <c r="B568" s="271">
        <v>801</v>
      </c>
      <c r="C568" s="271" t="s">
        <v>312</v>
      </c>
      <c r="D568" s="252" t="s">
        <v>202</v>
      </c>
      <c r="E568" s="260" t="s">
        <v>867</v>
      </c>
      <c r="F568" s="252" t="s">
        <v>94</v>
      </c>
      <c r="G568" s="257">
        <v>18</v>
      </c>
      <c r="H568" s="257">
        <v>29</v>
      </c>
      <c r="I568" s="257">
        <v>47</v>
      </c>
      <c r="J568" s="257">
        <f t="shared" ref="J568" si="468">H568+I568</f>
        <v>76</v>
      </c>
      <c r="K568" s="257">
        <f t="shared" si="466"/>
        <v>123</v>
      </c>
      <c r="L568" s="257">
        <v>0</v>
      </c>
      <c r="M568" s="257">
        <f>L568+L568</f>
        <v>0</v>
      </c>
      <c r="N568" s="257">
        <f>L568+M568</f>
        <v>0</v>
      </c>
      <c r="O568" s="257">
        <v>0</v>
      </c>
    </row>
    <row r="569" spans="1:15" s="430" customFormat="1" ht="15.75" customHeight="1" x14ac:dyDescent="0.2">
      <c r="A569" s="462" t="s">
        <v>203</v>
      </c>
      <c r="B569" s="250" t="s">
        <v>146</v>
      </c>
      <c r="C569" s="250" t="s">
        <v>190</v>
      </c>
      <c r="D569" s="250" t="s">
        <v>204</v>
      </c>
      <c r="E569" s="250"/>
      <c r="F569" s="250"/>
      <c r="G569" s="275">
        <v>2650</v>
      </c>
      <c r="H569" s="275">
        <v>0</v>
      </c>
      <c r="I569" s="275">
        <v>2650</v>
      </c>
      <c r="J569" s="275">
        <f t="shared" ref="J569" si="469">J572+J570</f>
        <v>0</v>
      </c>
      <c r="K569" s="275">
        <f>L572+L570</f>
        <v>2650</v>
      </c>
      <c r="L569" s="275">
        <f t="shared" ref="L569" si="470">L572+L570</f>
        <v>2650</v>
      </c>
      <c r="M569" s="275">
        <f t="shared" ref="M569:N569" si="471">M572+M570</f>
        <v>0</v>
      </c>
      <c r="N569" s="275">
        <f t="shared" si="471"/>
        <v>2650</v>
      </c>
      <c r="O569" s="275">
        <f t="shared" ref="O569" si="472">O572+O570</f>
        <v>2650</v>
      </c>
    </row>
    <row r="570" spans="1:15" ht="18.75" customHeight="1" x14ac:dyDescent="0.2">
      <c r="A570" s="259" t="s">
        <v>466</v>
      </c>
      <c r="B570" s="252" t="s">
        <v>146</v>
      </c>
      <c r="C570" s="252" t="s">
        <v>190</v>
      </c>
      <c r="D570" s="252" t="s">
        <v>204</v>
      </c>
      <c r="E570" s="252" t="s">
        <v>874</v>
      </c>
      <c r="F570" s="252"/>
      <c r="G570" s="257">
        <v>650</v>
      </c>
      <c r="H570" s="257">
        <v>0</v>
      </c>
      <c r="I570" s="257">
        <v>650</v>
      </c>
      <c r="J570" s="257">
        <f t="shared" ref="J570:O570" si="473">J571</f>
        <v>0</v>
      </c>
      <c r="K570" s="257">
        <f>L571</f>
        <v>650</v>
      </c>
      <c r="L570" s="257">
        <f t="shared" si="473"/>
        <v>650</v>
      </c>
      <c r="M570" s="257">
        <f t="shared" si="473"/>
        <v>0</v>
      </c>
      <c r="N570" s="257">
        <f t="shared" si="473"/>
        <v>650</v>
      </c>
      <c r="O570" s="257">
        <f t="shared" si="473"/>
        <v>650</v>
      </c>
    </row>
    <row r="571" spans="1:15" x14ac:dyDescent="0.2">
      <c r="A571" s="259" t="s">
        <v>318</v>
      </c>
      <c r="B571" s="252" t="s">
        <v>146</v>
      </c>
      <c r="C571" s="252" t="s">
        <v>353</v>
      </c>
      <c r="D571" s="252" t="s">
        <v>204</v>
      </c>
      <c r="E571" s="252" t="s">
        <v>874</v>
      </c>
      <c r="F571" s="252" t="s">
        <v>319</v>
      </c>
      <c r="G571" s="257">
        <v>650</v>
      </c>
      <c r="H571" s="257">
        <v>0</v>
      </c>
      <c r="I571" s="257">
        <v>650</v>
      </c>
      <c r="J571" s="257">
        <v>0</v>
      </c>
      <c r="K571" s="257">
        <f t="shared" ref="K571" si="474">I571+J571</f>
        <v>650</v>
      </c>
      <c r="L571" s="257">
        <v>650</v>
      </c>
      <c r="M571" s="257">
        <v>0</v>
      </c>
      <c r="N571" s="257">
        <f>L571+M571</f>
        <v>650</v>
      </c>
      <c r="O571" s="257">
        <v>650</v>
      </c>
    </row>
    <row r="572" spans="1:15" x14ac:dyDescent="0.2">
      <c r="A572" s="259" t="s">
        <v>352</v>
      </c>
      <c r="B572" s="252" t="s">
        <v>146</v>
      </c>
      <c r="C572" s="252" t="s">
        <v>353</v>
      </c>
      <c r="D572" s="252" t="s">
        <v>204</v>
      </c>
      <c r="E572" s="252" t="s">
        <v>875</v>
      </c>
      <c r="F572" s="252"/>
      <c r="G572" s="257">
        <v>2000</v>
      </c>
      <c r="H572" s="257">
        <v>0</v>
      </c>
      <c r="I572" s="257">
        <v>2000</v>
      </c>
      <c r="J572" s="257">
        <f t="shared" ref="J572:O572" si="475">J573</f>
        <v>0</v>
      </c>
      <c r="K572" s="257">
        <f>L573</f>
        <v>2000</v>
      </c>
      <c r="L572" s="257">
        <f t="shared" si="475"/>
        <v>2000</v>
      </c>
      <c r="M572" s="257">
        <f t="shared" si="475"/>
        <v>0</v>
      </c>
      <c r="N572" s="257">
        <f t="shared" si="475"/>
        <v>2000</v>
      </c>
      <c r="O572" s="257">
        <f t="shared" si="475"/>
        <v>2000</v>
      </c>
    </row>
    <row r="573" spans="1:15" x14ac:dyDescent="0.2">
      <c r="A573" s="259" t="s">
        <v>318</v>
      </c>
      <c r="B573" s="252" t="s">
        <v>146</v>
      </c>
      <c r="C573" s="252" t="s">
        <v>190</v>
      </c>
      <c r="D573" s="252" t="s">
        <v>204</v>
      </c>
      <c r="E573" s="252" t="s">
        <v>875</v>
      </c>
      <c r="F573" s="252" t="s">
        <v>319</v>
      </c>
      <c r="G573" s="257">
        <v>2000</v>
      </c>
      <c r="H573" s="257">
        <v>0</v>
      </c>
      <c r="I573" s="257">
        <v>2000</v>
      </c>
      <c r="J573" s="257">
        <v>0</v>
      </c>
      <c r="K573" s="257">
        <f t="shared" ref="K573" si="476">I573+J573</f>
        <v>2000</v>
      </c>
      <c r="L573" s="257">
        <v>2000</v>
      </c>
      <c r="M573" s="257">
        <v>0</v>
      </c>
      <c r="N573" s="257">
        <f>L573+M573</f>
        <v>2000</v>
      </c>
      <c r="O573" s="257">
        <v>2000</v>
      </c>
    </row>
    <row r="574" spans="1:15" s="430" customFormat="1" ht="14.25" x14ac:dyDescent="0.2">
      <c r="A574" s="462" t="s">
        <v>206</v>
      </c>
      <c r="B574" s="249">
        <v>801</v>
      </c>
      <c r="C574" s="250" t="s">
        <v>190</v>
      </c>
      <c r="D574" s="250" t="s">
        <v>207</v>
      </c>
      <c r="E574" s="250"/>
      <c r="F574" s="250"/>
      <c r="G574" s="261">
        <v>24873.51</v>
      </c>
      <c r="H574" s="261">
        <v>-1243.6999999999971</v>
      </c>
      <c r="I574" s="261">
        <v>21018.400000000001</v>
      </c>
      <c r="J574" s="261">
        <f>J575+J578+J589+J593+J599+J601+J604+J613+J596+J606+J607</f>
        <v>-1669.1</v>
      </c>
      <c r="K574" s="261">
        <f>L575+L578+L589+L593+L599+L601+L604+L613+L596+L606+L607</f>
        <v>20717.365999999969</v>
      </c>
      <c r="L574" s="261">
        <f>L575+L578+L589+L593+L599+L601+L604+L613+L606+L607+L584</f>
        <v>20717.365999999969</v>
      </c>
      <c r="M574" s="261">
        <f t="shared" ref="M574:O574" si="477">M575+M578+M589+M593+M599+M601+M604+M613+M606+M607+M584</f>
        <v>-15.559999999999945</v>
      </c>
      <c r="N574" s="261">
        <f t="shared" si="477"/>
        <v>20701.805999999968</v>
      </c>
      <c r="O574" s="261">
        <f t="shared" si="477"/>
        <v>20463.61</v>
      </c>
    </row>
    <row r="575" spans="1:15" ht="35.25" customHeight="1" x14ac:dyDescent="0.2">
      <c r="A575" s="259" t="s">
        <v>1087</v>
      </c>
      <c r="B575" s="271">
        <v>801</v>
      </c>
      <c r="C575" s="252" t="s">
        <v>190</v>
      </c>
      <c r="D575" s="252" t="s">
        <v>207</v>
      </c>
      <c r="E575" s="252" t="s">
        <v>841</v>
      </c>
      <c r="F575" s="252"/>
      <c r="G575" s="257">
        <v>20.21</v>
      </c>
      <c r="H575" s="257">
        <v>-0.2</v>
      </c>
      <c r="I575" s="257">
        <v>0</v>
      </c>
      <c r="J575" s="257">
        <f t="shared" ref="J575" si="478">J576+J577</f>
        <v>20</v>
      </c>
      <c r="K575" s="257">
        <f>L576+L577</f>
        <v>20</v>
      </c>
      <c r="L575" s="257">
        <f t="shared" ref="L575" si="479">L576+L577</f>
        <v>20</v>
      </c>
      <c r="M575" s="257">
        <f t="shared" ref="M575:N575" si="480">M576+M577</f>
        <v>-20</v>
      </c>
      <c r="N575" s="257">
        <f t="shared" si="480"/>
        <v>0</v>
      </c>
      <c r="O575" s="257">
        <f t="shared" ref="O575" si="481">O576+O577</f>
        <v>0</v>
      </c>
    </row>
    <row r="576" spans="1:15" ht="18.75" customHeight="1" x14ac:dyDescent="0.2">
      <c r="A576" s="259" t="s">
        <v>1088</v>
      </c>
      <c r="B576" s="271">
        <v>801</v>
      </c>
      <c r="C576" s="252" t="s">
        <v>190</v>
      </c>
      <c r="D576" s="252" t="s">
        <v>207</v>
      </c>
      <c r="E576" s="252" t="s">
        <v>841</v>
      </c>
      <c r="F576" s="252" t="s">
        <v>1089</v>
      </c>
      <c r="G576" s="257">
        <v>20</v>
      </c>
      <c r="H576" s="257">
        <v>-0.2</v>
      </c>
      <c r="I576" s="257">
        <v>0</v>
      </c>
      <c r="J576" s="257">
        <v>19.8</v>
      </c>
      <c r="K576" s="257">
        <f>I576+J576</f>
        <v>19.8</v>
      </c>
      <c r="L576" s="257">
        <v>19.8</v>
      </c>
      <c r="M576" s="257">
        <v>-19.8</v>
      </c>
      <c r="N576" s="257">
        <f>L576+M576</f>
        <v>0</v>
      </c>
      <c r="O576" s="257">
        <v>0</v>
      </c>
    </row>
    <row r="577" spans="1:15" ht="16.5" customHeight="1" x14ac:dyDescent="0.2">
      <c r="A577" s="259" t="s">
        <v>1090</v>
      </c>
      <c r="B577" s="271">
        <v>801</v>
      </c>
      <c r="C577" s="252" t="s">
        <v>190</v>
      </c>
      <c r="D577" s="252" t="s">
        <v>207</v>
      </c>
      <c r="E577" s="252" t="s">
        <v>841</v>
      </c>
      <c r="F577" s="252" t="s">
        <v>1089</v>
      </c>
      <c r="G577" s="257">
        <v>0.21</v>
      </c>
      <c r="H577" s="257">
        <v>0</v>
      </c>
      <c r="I577" s="257">
        <v>0</v>
      </c>
      <c r="J577" s="257">
        <v>0.2</v>
      </c>
      <c r="K577" s="257">
        <f>I577+J577</f>
        <v>0.2</v>
      </c>
      <c r="L577" s="257">
        <v>0.2</v>
      </c>
      <c r="M577" s="257">
        <v>-0.2</v>
      </c>
      <c r="N577" s="257">
        <f>L577+M577</f>
        <v>0</v>
      </c>
      <c r="O577" s="257">
        <v>0</v>
      </c>
    </row>
    <row r="578" spans="1:15" ht="22.5" customHeight="1" x14ac:dyDescent="0.2">
      <c r="A578" s="259" t="s">
        <v>809</v>
      </c>
      <c r="B578" s="271">
        <v>801</v>
      </c>
      <c r="C578" s="252" t="s">
        <v>190</v>
      </c>
      <c r="D578" s="252" t="s">
        <v>207</v>
      </c>
      <c r="E578" s="252" t="s">
        <v>870</v>
      </c>
      <c r="F578" s="252"/>
      <c r="G578" s="257">
        <v>788.6</v>
      </c>
      <c r="H578" s="257">
        <v>144.4</v>
      </c>
      <c r="I578" s="257">
        <v>933</v>
      </c>
      <c r="J578" s="257">
        <f t="shared" ref="J578" si="482">J579+J580+J581+J582+J583</f>
        <v>54.9</v>
      </c>
      <c r="K578" s="257">
        <f>L579+L580+L581+L582+L583</f>
        <v>1004.8</v>
      </c>
      <c r="L578" s="257">
        <f t="shared" ref="L578" si="483">L579+L580+L581+L582+L583</f>
        <v>1004.8</v>
      </c>
      <c r="M578" s="257">
        <f t="shared" ref="M578:N578" si="484">M579+M580+M581+M582+M583</f>
        <v>-1004.8</v>
      </c>
      <c r="N578" s="257">
        <f t="shared" si="484"/>
        <v>0</v>
      </c>
      <c r="O578" s="257">
        <v>0</v>
      </c>
    </row>
    <row r="579" spans="1:15" ht="15" customHeight="1" x14ac:dyDescent="0.2">
      <c r="A579" s="375" t="s">
        <v>907</v>
      </c>
      <c r="B579" s="271">
        <v>801</v>
      </c>
      <c r="C579" s="252" t="s">
        <v>190</v>
      </c>
      <c r="D579" s="252" t="s">
        <v>207</v>
      </c>
      <c r="E579" s="252" t="s">
        <v>870</v>
      </c>
      <c r="F579" s="382" t="s">
        <v>96</v>
      </c>
      <c r="G579" s="257">
        <v>605.70000000000005</v>
      </c>
      <c r="H579" s="257">
        <v>110.9</v>
      </c>
      <c r="I579" s="257">
        <v>716.6</v>
      </c>
      <c r="J579" s="257">
        <v>26.8</v>
      </c>
      <c r="K579" s="257">
        <f>I579+J579</f>
        <v>743.4</v>
      </c>
      <c r="L579" s="257">
        <v>743.4</v>
      </c>
      <c r="M579" s="257">
        <v>-743.4</v>
      </c>
      <c r="N579" s="257">
        <f>L579+M579</f>
        <v>0</v>
      </c>
      <c r="O579" s="257">
        <v>0</v>
      </c>
    </row>
    <row r="580" spans="1:15" ht="32.25" customHeight="1" x14ac:dyDescent="0.2">
      <c r="A580" s="375" t="s">
        <v>898</v>
      </c>
      <c r="B580" s="271">
        <v>801</v>
      </c>
      <c r="C580" s="252" t="s">
        <v>190</v>
      </c>
      <c r="D580" s="252" t="s">
        <v>207</v>
      </c>
      <c r="E580" s="252" t="s">
        <v>870</v>
      </c>
      <c r="F580" s="252" t="s">
        <v>896</v>
      </c>
      <c r="G580" s="257">
        <v>182.9</v>
      </c>
      <c r="H580" s="257">
        <v>33.5</v>
      </c>
      <c r="I580" s="257">
        <v>216.4</v>
      </c>
      <c r="J580" s="257">
        <v>8.1</v>
      </c>
      <c r="K580" s="257">
        <f t="shared" ref="K580:K583" si="485">I580+J580</f>
        <v>224.5</v>
      </c>
      <c r="L580" s="257">
        <v>224.5</v>
      </c>
      <c r="M580" s="257">
        <v>-224.5</v>
      </c>
      <c r="N580" s="257">
        <f>L580+M580</f>
        <v>0</v>
      </c>
      <c r="O580" s="257">
        <v>0</v>
      </c>
    </row>
    <row r="581" spans="1:15" ht="21" customHeight="1" x14ac:dyDescent="0.2">
      <c r="A581" s="259" t="s">
        <v>93</v>
      </c>
      <c r="B581" s="271">
        <v>801</v>
      </c>
      <c r="C581" s="252" t="s">
        <v>190</v>
      </c>
      <c r="D581" s="252" t="s">
        <v>207</v>
      </c>
      <c r="E581" s="252" t="s">
        <v>870</v>
      </c>
      <c r="F581" s="252" t="s">
        <v>94</v>
      </c>
      <c r="G581" s="257">
        <v>0</v>
      </c>
      <c r="H581" s="257">
        <v>0</v>
      </c>
      <c r="I581" s="257">
        <v>0</v>
      </c>
      <c r="J581" s="257">
        <v>20</v>
      </c>
      <c r="K581" s="257">
        <f t="shared" si="485"/>
        <v>20</v>
      </c>
      <c r="L581" s="257">
        <v>36.9</v>
      </c>
      <c r="M581" s="257">
        <v>-36.9</v>
      </c>
      <c r="N581" s="257">
        <f>L581+M581</f>
        <v>0</v>
      </c>
      <c r="O581" s="257">
        <v>0</v>
      </c>
    </row>
    <row r="582" spans="1:15" ht="28.5" hidden="1" customHeight="1" x14ac:dyDescent="0.2">
      <c r="A582" s="375" t="s">
        <v>907</v>
      </c>
      <c r="B582" s="271">
        <v>801</v>
      </c>
      <c r="C582" s="252" t="s">
        <v>190</v>
      </c>
      <c r="D582" s="252" t="s">
        <v>207</v>
      </c>
      <c r="E582" s="252" t="s">
        <v>872</v>
      </c>
      <c r="F582" s="252" t="s">
        <v>96</v>
      </c>
      <c r="G582" s="257">
        <v>0</v>
      </c>
      <c r="H582" s="257">
        <v>0</v>
      </c>
      <c r="I582" s="257">
        <v>0</v>
      </c>
      <c r="J582" s="257">
        <v>0</v>
      </c>
      <c r="K582" s="257">
        <f t="shared" si="485"/>
        <v>0</v>
      </c>
      <c r="L582" s="257">
        <v>0</v>
      </c>
      <c r="M582" s="257">
        <v>0</v>
      </c>
      <c r="N582" s="257">
        <f>L582+M582</f>
        <v>0</v>
      </c>
      <c r="O582" s="257">
        <v>0</v>
      </c>
    </row>
    <row r="583" spans="1:15" ht="28.5" hidden="1" customHeight="1" x14ac:dyDescent="0.2">
      <c r="A583" s="375" t="s">
        <v>898</v>
      </c>
      <c r="B583" s="271">
        <v>801</v>
      </c>
      <c r="C583" s="252" t="s">
        <v>190</v>
      </c>
      <c r="D583" s="252" t="s">
        <v>207</v>
      </c>
      <c r="E583" s="252" t="s">
        <v>872</v>
      </c>
      <c r="F583" s="252" t="s">
        <v>896</v>
      </c>
      <c r="G583" s="257">
        <v>0</v>
      </c>
      <c r="H583" s="257">
        <v>0</v>
      </c>
      <c r="I583" s="257">
        <v>0</v>
      </c>
      <c r="J583" s="257">
        <v>0</v>
      </c>
      <c r="K583" s="257">
        <f t="shared" si="485"/>
        <v>0</v>
      </c>
      <c r="L583" s="257">
        <v>0</v>
      </c>
      <c r="M583" s="257">
        <v>0</v>
      </c>
      <c r="N583" s="257">
        <f>L583+M583</f>
        <v>0</v>
      </c>
      <c r="O583" s="257">
        <v>0</v>
      </c>
    </row>
    <row r="584" spans="1:15" ht="51" customHeight="1" x14ac:dyDescent="0.2">
      <c r="A584" s="259" t="s">
        <v>1278</v>
      </c>
      <c r="B584" s="271">
        <v>801</v>
      </c>
      <c r="C584" s="252" t="s">
        <v>190</v>
      </c>
      <c r="D584" s="252" t="s">
        <v>207</v>
      </c>
      <c r="E584" s="252" t="s">
        <v>1279</v>
      </c>
      <c r="F584" s="252"/>
      <c r="G584" s="257"/>
      <c r="H584" s="257"/>
      <c r="I584" s="257"/>
      <c r="J584" s="257"/>
      <c r="K584" s="257"/>
      <c r="L584" s="257">
        <f>L585+L586+L587+L588</f>
        <v>0</v>
      </c>
      <c r="M584" s="257">
        <f>M585+M586+M587+M588</f>
        <v>1040.7</v>
      </c>
      <c r="N584" s="257">
        <f>N585+N586+N587+N588</f>
        <v>1040.7</v>
      </c>
      <c r="O584" s="257">
        <f>O585+O586+O587+O588</f>
        <v>1040.7</v>
      </c>
    </row>
    <row r="585" spans="1:15" ht="21" customHeight="1" x14ac:dyDescent="0.2">
      <c r="A585" s="375" t="s">
        <v>907</v>
      </c>
      <c r="B585" s="271">
        <v>801</v>
      </c>
      <c r="C585" s="252" t="s">
        <v>190</v>
      </c>
      <c r="D585" s="252" t="s">
        <v>207</v>
      </c>
      <c r="E585" s="252" t="s">
        <v>1279</v>
      </c>
      <c r="F585" s="252" t="s">
        <v>96</v>
      </c>
      <c r="G585" s="257"/>
      <c r="H585" s="257"/>
      <c r="I585" s="257"/>
      <c r="J585" s="257"/>
      <c r="K585" s="257"/>
      <c r="L585" s="257">
        <v>0</v>
      </c>
      <c r="M585" s="257">
        <v>789.5</v>
      </c>
      <c r="N585" s="257">
        <f>L585+M585</f>
        <v>789.5</v>
      </c>
      <c r="O585" s="257">
        <v>789.5</v>
      </c>
    </row>
    <row r="586" spans="1:15" ht="21" hidden="1" customHeight="1" x14ac:dyDescent="0.2">
      <c r="A586" s="375" t="s">
        <v>97</v>
      </c>
      <c r="B586" s="271">
        <v>801</v>
      </c>
      <c r="C586" s="252" t="s">
        <v>190</v>
      </c>
      <c r="D586" s="252" t="s">
        <v>207</v>
      </c>
      <c r="E586" s="252" t="s">
        <v>1279</v>
      </c>
      <c r="F586" s="252" t="s">
        <v>98</v>
      </c>
      <c r="G586" s="257"/>
      <c r="H586" s="257"/>
      <c r="I586" s="257"/>
      <c r="J586" s="257"/>
      <c r="K586" s="257"/>
      <c r="L586" s="257">
        <v>0</v>
      </c>
      <c r="M586" s="257">
        <v>0</v>
      </c>
      <c r="N586" s="257">
        <f t="shared" ref="N586:N588" si="486">L586+M586</f>
        <v>0</v>
      </c>
      <c r="O586" s="257">
        <v>0</v>
      </c>
    </row>
    <row r="587" spans="1:15" ht="28.5" customHeight="1" x14ac:dyDescent="0.2">
      <c r="A587" s="375" t="s">
        <v>898</v>
      </c>
      <c r="B587" s="271">
        <v>801</v>
      </c>
      <c r="C587" s="252" t="s">
        <v>190</v>
      </c>
      <c r="D587" s="252" t="s">
        <v>207</v>
      </c>
      <c r="E587" s="252" t="s">
        <v>1279</v>
      </c>
      <c r="F587" s="252" t="s">
        <v>896</v>
      </c>
      <c r="G587" s="257"/>
      <c r="H587" s="257"/>
      <c r="I587" s="257"/>
      <c r="J587" s="257"/>
      <c r="K587" s="257"/>
      <c r="L587" s="257">
        <v>0</v>
      </c>
      <c r="M587" s="257">
        <v>238.4</v>
      </c>
      <c r="N587" s="257">
        <f t="shared" si="486"/>
        <v>238.4</v>
      </c>
      <c r="O587" s="257">
        <v>238.4</v>
      </c>
    </row>
    <row r="588" spans="1:15" ht="20.25" customHeight="1" x14ac:dyDescent="0.2">
      <c r="A588" s="259" t="s">
        <v>93</v>
      </c>
      <c r="B588" s="271">
        <v>801</v>
      </c>
      <c r="C588" s="252" t="s">
        <v>190</v>
      </c>
      <c r="D588" s="252" t="s">
        <v>207</v>
      </c>
      <c r="E588" s="252" t="s">
        <v>1279</v>
      </c>
      <c r="F588" s="252" t="s">
        <v>94</v>
      </c>
      <c r="G588" s="257"/>
      <c r="H588" s="257"/>
      <c r="I588" s="257"/>
      <c r="J588" s="257"/>
      <c r="K588" s="257"/>
      <c r="L588" s="257">
        <v>0</v>
      </c>
      <c r="M588" s="257">
        <v>12.8</v>
      </c>
      <c r="N588" s="257">
        <f t="shared" si="486"/>
        <v>12.8</v>
      </c>
      <c r="O588" s="257">
        <v>12.8</v>
      </c>
    </row>
    <row r="589" spans="1:15" ht="30" x14ac:dyDescent="0.2">
      <c r="A589" s="259" t="s">
        <v>1091</v>
      </c>
      <c r="B589" s="271">
        <v>801</v>
      </c>
      <c r="C589" s="252" t="s">
        <v>190</v>
      </c>
      <c r="D589" s="252" t="s">
        <v>207</v>
      </c>
      <c r="E589" s="252" t="s">
        <v>1283</v>
      </c>
      <c r="F589" s="252"/>
      <c r="G589" s="257">
        <v>42.499999999999993</v>
      </c>
      <c r="H589" s="257">
        <v>0.3</v>
      </c>
      <c r="I589" s="257">
        <v>42.8</v>
      </c>
      <c r="J589" s="257">
        <f t="shared" ref="J589" si="487">J590+J591</f>
        <v>21</v>
      </c>
      <c r="K589" s="257">
        <f>L590+L591</f>
        <v>90.4</v>
      </c>
      <c r="L589" s="257">
        <f>L591+L592</f>
        <v>90.4</v>
      </c>
      <c r="M589" s="257">
        <f t="shared" ref="M589:O589" si="488">M591+M592</f>
        <v>12.5</v>
      </c>
      <c r="N589" s="257">
        <f t="shared" si="488"/>
        <v>102.9</v>
      </c>
      <c r="O589" s="257">
        <f t="shared" si="488"/>
        <v>102.9</v>
      </c>
    </row>
    <row r="590" spans="1:15" ht="20.25" hidden="1" customHeight="1" x14ac:dyDescent="0.2">
      <c r="A590" s="259" t="s">
        <v>99</v>
      </c>
      <c r="B590" s="271">
        <v>801</v>
      </c>
      <c r="C590" s="252" t="s">
        <v>190</v>
      </c>
      <c r="D590" s="252" t="s">
        <v>207</v>
      </c>
      <c r="E590" s="252" t="s">
        <v>807</v>
      </c>
      <c r="F590" s="252" t="s">
        <v>100</v>
      </c>
      <c r="G590" s="257">
        <v>0</v>
      </c>
      <c r="H590" s="257">
        <v>0</v>
      </c>
      <c r="I590" s="257">
        <v>0</v>
      </c>
      <c r="J590" s="257">
        <v>0</v>
      </c>
      <c r="K590" s="257">
        <f>I590+J590</f>
        <v>0</v>
      </c>
      <c r="L590" s="257">
        <f>J590+K590</f>
        <v>0</v>
      </c>
      <c r="M590" s="257">
        <v>0</v>
      </c>
      <c r="N590" s="257">
        <f>L590+M590</f>
        <v>0</v>
      </c>
      <c r="O590" s="257">
        <f>M590+N590</f>
        <v>0</v>
      </c>
    </row>
    <row r="591" spans="1:15" x14ac:dyDescent="0.2">
      <c r="A591" s="259" t="s">
        <v>93</v>
      </c>
      <c r="B591" s="271">
        <v>801</v>
      </c>
      <c r="C591" s="252" t="s">
        <v>190</v>
      </c>
      <c r="D591" s="252" t="s">
        <v>207</v>
      </c>
      <c r="E591" s="252" t="s">
        <v>807</v>
      </c>
      <c r="F591" s="252" t="s">
        <v>94</v>
      </c>
      <c r="G591" s="257">
        <v>42.499999999999993</v>
      </c>
      <c r="H591" s="257">
        <v>0.3</v>
      </c>
      <c r="I591" s="257">
        <v>42.8</v>
      </c>
      <c r="J591" s="257">
        <v>21</v>
      </c>
      <c r="K591" s="257">
        <f>I591+J591</f>
        <v>63.8</v>
      </c>
      <c r="L591" s="257">
        <v>90.4</v>
      </c>
      <c r="M591" s="257">
        <v>-90.4</v>
      </c>
      <c r="N591" s="257">
        <f>L591+M591</f>
        <v>0</v>
      </c>
      <c r="O591" s="257">
        <v>0</v>
      </c>
    </row>
    <row r="592" spans="1:15" x14ac:dyDescent="0.2">
      <c r="A592" s="259" t="s">
        <v>93</v>
      </c>
      <c r="B592" s="271">
        <v>801</v>
      </c>
      <c r="C592" s="252" t="s">
        <v>190</v>
      </c>
      <c r="D592" s="252" t="s">
        <v>207</v>
      </c>
      <c r="E592" s="252" t="s">
        <v>1283</v>
      </c>
      <c r="F592" s="252" t="s">
        <v>94</v>
      </c>
      <c r="G592" s="257"/>
      <c r="H592" s="257"/>
      <c r="I592" s="257"/>
      <c r="J592" s="257"/>
      <c r="K592" s="257"/>
      <c r="L592" s="257">
        <v>0</v>
      </c>
      <c r="M592" s="257">
        <v>102.9</v>
      </c>
      <c r="N592" s="257">
        <f>L592+M592</f>
        <v>102.9</v>
      </c>
      <c r="O592" s="257">
        <v>102.9</v>
      </c>
    </row>
    <row r="593" spans="1:15" ht="51" customHeight="1" x14ac:dyDescent="0.2">
      <c r="A593" s="259" t="s">
        <v>1092</v>
      </c>
      <c r="B593" s="271">
        <v>801</v>
      </c>
      <c r="C593" s="252" t="s">
        <v>190</v>
      </c>
      <c r="D593" s="252" t="s">
        <v>207</v>
      </c>
      <c r="E593" s="252" t="s">
        <v>1284</v>
      </c>
      <c r="F593" s="252"/>
      <c r="G593" s="257">
        <v>250.2</v>
      </c>
      <c r="H593" s="257">
        <v>-9.6</v>
      </c>
      <c r="I593" s="257">
        <v>240.6</v>
      </c>
      <c r="J593" s="257">
        <f t="shared" ref="J593" si="489">J595+J594</f>
        <v>40</v>
      </c>
      <c r="K593" s="257">
        <f>L595+L594</f>
        <v>334</v>
      </c>
      <c r="L593" s="257">
        <f>L595+L594+L596+L597+L598</f>
        <v>334</v>
      </c>
      <c r="M593" s="257">
        <f t="shared" ref="M593:O593" si="490">M595+M594+M596+M597+M598</f>
        <v>62.899999999999977</v>
      </c>
      <c r="N593" s="257">
        <f t="shared" si="490"/>
        <v>396.9</v>
      </c>
      <c r="O593" s="257">
        <f t="shared" si="490"/>
        <v>396.9</v>
      </c>
    </row>
    <row r="594" spans="1:15" ht="12.75" customHeight="1" x14ac:dyDescent="0.2">
      <c r="A594" s="259" t="s">
        <v>907</v>
      </c>
      <c r="B594" s="271">
        <v>801</v>
      </c>
      <c r="C594" s="252" t="s">
        <v>190</v>
      </c>
      <c r="D594" s="252" t="s">
        <v>207</v>
      </c>
      <c r="E594" s="252" t="s">
        <v>805</v>
      </c>
      <c r="F594" s="252" t="s">
        <v>96</v>
      </c>
      <c r="G594" s="257">
        <v>192.2</v>
      </c>
      <c r="H594" s="257">
        <v>-7.41</v>
      </c>
      <c r="I594" s="257">
        <v>184.79</v>
      </c>
      <c r="J594" s="257">
        <v>30.71</v>
      </c>
      <c r="K594" s="257">
        <f>I594+J594</f>
        <v>215.5</v>
      </c>
      <c r="L594" s="257">
        <v>256.54000000000002</v>
      </c>
      <c r="M594" s="257">
        <v>-256.54000000000002</v>
      </c>
      <c r="N594" s="257">
        <f>L594+M594</f>
        <v>0</v>
      </c>
      <c r="O594" s="257">
        <v>0</v>
      </c>
    </row>
    <row r="595" spans="1:15" ht="30" x14ac:dyDescent="0.2">
      <c r="A595" s="375" t="s">
        <v>898</v>
      </c>
      <c r="B595" s="271">
        <v>801</v>
      </c>
      <c r="C595" s="252" t="s">
        <v>190</v>
      </c>
      <c r="D595" s="252" t="s">
        <v>207</v>
      </c>
      <c r="E595" s="252" t="s">
        <v>805</v>
      </c>
      <c r="F595" s="252" t="s">
        <v>896</v>
      </c>
      <c r="G595" s="257">
        <v>58</v>
      </c>
      <c r="H595" s="257">
        <v>-2.19</v>
      </c>
      <c r="I595" s="257">
        <v>55.81</v>
      </c>
      <c r="J595" s="257">
        <v>9.2899999999999991</v>
      </c>
      <c r="K595" s="257">
        <f>I595+J595</f>
        <v>65.099999999999994</v>
      </c>
      <c r="L595" s="257">
        <v>77.459999999999994</v>
      </c>
      <c r="M595" s="257">
        <v>-77.459999999999994</v>
      </c>
      <c r="N595" s="257">
        <f>L595+M595</f>
        <v>0</v>
      </c>
      <c r="O595" s="257">
        <v>0</v>
      </c>
    </row>
    <row r="596" spans="1:15" x14ac:dyDescent="0.2">
      <c r="A596" s="259" t="s">
        <v>907</v>
      </c>
      <c r="B596" s="271">
        <v>801</v>
      </c>
      <c r="C596" s="252" t="s">
        <v>190</v>
      </c>
      <c r="D596" s="252" t="s">
        <v>207</v>
      </c>
      <c r="E596" s="252" t="s">
        <v>1284</v>
      </c>
      <c r="F596" s="252" t="s">
        <v>96</v>
      </c>
      <c r="G596" s="257">
        <v>0</v>
      </c>
      <c r="H596" s="257">
        <v>159.4</v>
      </c>
      <c r="I596" s="257">
        <v>0</v>
      </c>
      <c r="J596" s="257">
        <f t="shared" ref="J596:L596" si="491">J597</f>
        <v>0</v>
      </c>
      <c r="K596" s="257">
        <f>L597</f>
        <v>0</v>
      </c>
      <c r="L596" s="257">
        <f t="shared" si="491"/>
        <v>0</v>
      </c>
      <c r="M596" s="257">
        <v>262.60000000000002</v>
      </c>
      <c r="N596" s="257">
        <f t="shared" ref="N596:N597" si="492">L596+M596</f>
        <v>262.60000000000002</v>
      </c>
      <c r="O596" s="257">
        <v>262.60000000000002</v>
      </c>
    </row>
    <row r="597" spans="1:15" ht="30" x14ac:dyDescent="0.2">
      <c r="A597" s="375" t="s">
        <v>898</v>
      </c>
      <c r="B597" s="271">
        <v>801</v>
      </c>
      <c r="C597" s="252" t="s">
        <v>190</v>
      </c>
      <c r="D597" s="252" t="s">
        <v>207</v>
      </c>
      <c r="E597" s="252" t="s">
        <v>1284</v>
      </c>
      <c r="F597" s="252" t="s">
        <v>896</v>
      </c>
      <c r="G597" s="257">
        <v>0</v>
      </c>
      <c r="H597" s="257">
        <v>159.4</v>
      </c>
      <c r="I597" s="257">
        <v>0</v>
      </c>
      <c r="J597" s="257">
        <v>0</v>
      </c>
      <c r="K597" s="257">
        <f>I597+J597</f>
        <v>0</v>
      </c>
      <c r="L597" s="257">
        <v>0</v>
      </c>
      <c r="M597" s="257">
        <v>79.3</v>
      </c>
      <c r="N597" s="257">
        <f t="shared" si="492"/>
        <v>79.3</v>
      </c>
      <c r="O597" s="257">
        <v>79.3</v>
      </c>
    </row>
    <row r="598" spans="1:15" x14ac:dyDescent="0.2">
      <c r="A598" s="259" t="s">
        <v>93</v>
      </c>
      <c r="B598" s="271">
        <v>801</v>
      </c>
      <c r="C598" s="252" t="s">
        <v>190</v>
      </c>
      <c r="D598" s="252" t="s">
        <v>207</v>
      </c>
      <c r="E598" s="252" t="s">
        <v>1284</v>
      </c>
      <c r="F598" s="252" t="s">
        <v>94</v>
      </c>
      <c r="G598" s="257"/>
      <c r="H598" s="257"/>
      <c r="I598" s="257"/>
      <c r="J598" s="257"/>
      <c r="K598" s="257"/>
      <c r="L598" s="257">
        <v>0</v>
      </c>
      <c r="M598" s="257">
        <v>54.999999999999957</v>
      </c>
      <c r="N598" s="257">
        <f t="shared" ref="N598" si="493">L598+M598</f>
        <v>54.999999999999957</v>
      </c>
      <c r="O598" s="257">
        <v>54.999999999999957</v>
      </c>
    </row>
    <row r="599" spans="1:15" ht="17.25" customHeight="1" x14ac:dyDescent="0.2">
      <c r="A599" s="259" t="s">
        <v>509</v>
      </c>
      <c r="B599" s="271">
        <v>801</v>
      </c>
      <c r="C599" s="252" t="s">
        <v>190</v>
      </c>
      <c r="D599" s="252" t="s">
        <v>207</v>
      </c>
      <c r="E599" s="252" t="s">
        <v>818</v>
      </c>
      <c r="F599" s="252"/>
      <c r="G599" s="257">
        <v>10</v>
      </c>
      <c r="H599" s="257">
        <v>20</v>
      </c>
      <c r="I599" s="257">
        <v>10</v>
      </c>
      <c r="J599" s="257">
        <f t="shared" ref="J599:O599" si="494">J600</f>
        <v>0</v>
      </c>
      <c r="K599" s="257">
        <f>L600</f>
        <v>10</v>
      </c>
      <c r="L599" s="257">
        <f t="shared" si="494"/>
        <v>10</v>
      </c>
      <c r="M599" s="257">
        <f t="shared" si="494"/>
        <v>0</v>
      </c>
      <c r="N599" s="257">
        <f t="shared" si="494"/>
        <v>10</v>
      </c>
      <c r="O599" s="257">
        <f t="shared" si="494"/>
        <v>10</v>
      </c>
    </row>
    <row r="600" spans="1:15" ht="17.25" customHeight="1" x14ac:dyDescent="0.2">
      <c r="A600" s="259" t="s">
        <v>93</v>
      </c>
      <c r="B600" s="271">
        <v>801</v>
      </c>
      <c r="C600" s="252" t="s">
        <v>190</v>
      </c>
      <c r="D600" s="252" t="s">
        <v>207</v>
      </c>
      <c r="E600" s="252" t="s">
        <v>818</v>
      </c>
      <c r="F600" s="252" t="s">
        <v>94</v>
      </c>
      <c r="G600" s="257">
        <v>10</v>
      </c>
      <c r="H600" s="257">
        <v>20</v>
      </c>
      <c r="I600" s="257">
        <v>10</v>
      </c>
      <c r="J600" s="257">
        <v>0</v>
      </c>
      <c r="K600" s="257">
        <f>I600+J600</f>
        <v>10</v>
      </c>
      <c r="L600" s="257">
        <v>10</v>
      </c>
      <c r="M600" s="257">
        <v>0</v>
      </c>
      <c r="N600" s="257">
        <f>L600+M600</f>
        <v>10</v>
      </c>
      <c r="O600" s="257">
        <v>10</v>
      </c>
    </row>
    <row r="601" spans="1:15" ht="17.25" customHeight="1" x14ac:dyDescent="0.2">
      <c r="A601" s="259" t="s">
        <v>510</v>
      </c>
      <c r="B601" s="271">
        <v>801</v>
      </c>
      <c r="C601" s="252" t="s">
        <v>190</v>
      </c>
      <c r="D601" s="252" t="s">
        <v>207</v>
      </c>
      <c r="E601" s="252" t="s">
        <v>817</v>
      </c>
      <c r="F601" s="252"/>
      <c r="G601" s="257">
        <v>50</v>
      </c>
      <c r="H601" s="257">
        <v>0</v>
      </c>
      <c r="I601" s="257">
        <v>50</v>
      </c>
      <c r="J601" s="257">
        <f>J602+J603</f>
        <v>50</v>
      </c>
      <c r="K601" s="257">
        <f>L602+L603</f>
        <v>50</v>
      </c>
      <c r="L601" s="257">
        <f t="shared" ref="L601" si="495">L602+L603</f>
        <v>50</v>
      </c>
      <c r="M601" s="257">
        <v>0</v>
      </c>
      <c r="N601" s="257">
        <f t="shared" ref="N601:O601" si="496">N602+N603</f>
        <v>50</v>
      </c>
      <c r="O601" s="257">
        <f t="shared" si="496"/>
        <v>50</v>
      </c>
    </row>
    <row r="602" spans="1:15" ht="20.25" hidden="1" customHeight="1" x14ac:dyDescent="0.2">
      <c r="A602" s="259" t="s">
        <v>97</v>
      </c>
      <c r="B602" s="271">
        <v>801</v>
      </c>
      <c r="C602" s="252" t="s">
        <v>190</v>
      </c>
      <c r="D602" s="252" t="s">
        <v>207</v>
      </c>
      <c r="E602" s="252" t="s">
        <v>817</v>
      </c>
      <c r="F602" s="252" t="s">
        <v>98</v>
      </c>
      <c r="G602" s="257">
        <v>0</v>
      </c>
      <c r="H602" s="257">
        <v>0</v>
      </c>
      <c r="I602" s="257">
        <v>0</v>
      </c>
      <c r="J602" s="257">
        <v>0</v>
      </c>
      <c r="K602" s="257">
        <f>I602+J602</f>
        <v>0</v>
      </c>
      <c r="L602" s="257">
        <v>0</v>
      </c>
      <c r="M602" s="257">
        <v>0</v>
      </c>
      <c r="N602" s="257">
        <f>L602+M602</f>
        <v>0</v>
      </c>
      <c r="O602" s="257">
        <v>0</v>
      </c>
    </row>
    <row r="603" spans="1:15" ht="16.5" customHeight="1" x14ac:dyDescent="0.2">
      <c r="A603" s="259" t="s">
        <v>93</v>
      </c>
      <c r="B603" s="271">
        <v>801</v>
      </c>
      <c r="C603" s="252" t="s">
        <v>190</v>
      </c>
      <c r="D603" s="252" t="s">
        <v>207</v>
      </c>
      <c r="E603" s="252" t="s">
        <v>817</v>
      </c>
      <c r="F603" s="252" t="s">
        <v>94</v>
      </c>
      <c r="G603" s="257">
        <v>50</v>
      </c>
      <c r="H603" s="257">
        <v>0</v>
      </c>
      <c r="I603" s="257">
        <v>0</v>
      </c>
      <c r="J603" s="257">
        <f>50+H603</f>
        <v>50</v>
      </c>
      <c r="K603" s="257">
        <f>I603+J603</f>
        <v>50</v>
      </c>
      <c r="L603" s="257">
        <v>50</v>
      </c>
      <c r="M603" s="257">
        <v>0</v>
      </c>
      <c r="N603" s="257">
        <f>L603+M603</f>
        <v>50</v>
      </c>
      <c r="O603" s="257">
        <v>50</v>
      </c>
    </row>
    <row r="604" spans="1:15" ht="19.5" hidden="1" customHeight="1" x14ac:dyDescent="0.2">
      <c r="A604" s="259" t="s">
        <v>499</v>
      </c>
      <c r="B604" s="271">
        <v>801</v>
      </c>
      <c r="C604" s="252" t="s">
        <v>190</v>
      </c>
      <c r="D604" s="252" t="s">
        <v>207</v>
      </c>
      <c r="E604" s="252" t="s">
        <v>751</v>
      </c>
      <c r="F604" s="252"/>
      <c r="G604" s="257">
        <v>10</v>
      </c>
      <c r="H604" s="257">
        <v>-10</v>
      </c>
      <c r="I604" s="257">
        <v>10</v>
      </c>
      <c r="J604" s="257">
        <f t="shared" ref="J604:O604" si="497">J605</f>
        <v>-10</v>
      </c>
      <c r="K604" s="257">
        <f>L605</f>
        <v>0</v>
      </c>
      <c r="L604" s="257">
        <f t="shared" si="497"/>
        <v>0</v>
      </c>
      <c r="M604" s="257">
        <f t="shared" si="497"/>
        <v>0</v>
      </c>
      <c r="N604" s="257">
        <f t="shared" si="497"/>
        <v>0</v>
      </c>
      <c r="O604" s="257">
        <f t="shared" si="497"/>
        <v>0</v>
      </c>
    </row>
    <row r="605" spans="1:15" ht="19.5" hidden="1" customHeight="1" x14ac:dyDescent="0.2">
      <c r="A605" s="259" t="s">
        <v>121</v>
      </c>
      <c r="B605" s="271">
        <v>801</v>
      </c>
      <c r="C605" s="252" t="s">
        <v>190</v>
      </c>
      <c r="D605" s="252" t="s">
        <v>207</v>
      </c>
      <c r="E605" s="252" t="s">
        <v>751</v>
      </c>
      <c r="F605" s="252" t="s">
        <v>94</v>
      </c>
      <c r="G605" s="257">
        <v>10</v>
      </c>
      <c r="H605" s="257">
        <v>-10</v>
      </c>
      <c r="I605" s="257">
        <v>10</v>
      </c>
      <c r="J605" s="257">
        <v>-10</v>
      </c>
      <c r="K605" s="257">
        <f t="shared" ref="K605:L606" si="498">I605+J605</f>
        <v>0</v>
      </c>
      <c r="L605" s="257">
        <v>0</v>
      </c>
      <c r="M605" s="257">
        <v>0</v>
      </c>
      <c r="N605" s="257">
        <f>L605+M605</f>
        <v>0</v>
      </c>
      <c r="O605" s="257">
        <v>0</v>
      </c>
    </row>
    <row r="606" spans="1:15" ht="19.5" hidden="1" customHeight="1" x14ac:dyDescent="0.2">
      <c r="A606" s="259" t="s">
        <v>93</v>
      </c>
      <c r="B606" s="271">
        <v>801</v>
      </c>
      <c r="C606" s="252" t="s">
        <v>190</v>
      </c>
      <c r="D606" s="252" t="s">
        <v>207</v>
      </c>
      <c r="E606" s="252" t="s">
        <v>1130</v>
      </c>
      <c r="F606" s="252" t="s">
        <v>94</v>
      </c>
      <c r="G606" s="257">
        <v>0</v>
      </c>
      <c r="H606" s="257">
        <v>0</v>
      </c>
      <c r="I606" s="257">
        <v>0</v>
      </c>
      <c r="J606" s="257">
        <v>0</v>
      </c>
      <c r="K606" s="257">
        <f t="shared" si="498"/>
        <v>0</v>
      </c>
      <c r="L606" s="257">
        <f t="shared" si="498"/>
        <v>0</v>
      </c>
      <c r="M606" s="257">
        <v>0</v>
      </c>
      <c r="N606" s="257">
        <f>L606+M606</f>
        <v>0</v>
      </c>
      <c r="O606" s="257">
        <f t="shared" ref="O606" si="499">M606+N606</f>
        <v>0</v>
      </c>
    </row>
    <row r="607" spans="1:15" s="430" customFormat="1" ht="30.75" customHeight="1" x14ac:dyDescent="0.2">
      <c r="A607" s="462" t="s">
        <v>1154</v>
      </c>
      <c r="B607" s="249">
        <v>801</v>
      </c>
      <c r="C607" s="250" t="s">
        <v>190</v>
      </c>
      <c r="D607" s="250" t="s">
        <v>207</v>
      </c>
      <c r="E607" s="250" t="s">
        <v>867</v>
      </c>
      <c r="F607" s="250"/>
      <c r="G607" s="275">
        <v>0</v>
      </c>
      <c r="H607" s="275">
        <v>22154</v>
      </c>
      <c r="I607" s="275">
        <v>19732</v>
      </c>
      <c r="J607" s="275">
        <f t="shared" ref="J607" si="500">J608+J609+J610+J611+J612</f>
        <v>-1845</v>
      </c>
      <c r="K607" s="275">
        <f>L608+L609+L610+L611+L612</f>
        <v>19208.165999999968</v>
      </c>
      <c r="L607" s="275">
        <f t="shared" ref="L607" si="501">L608+L609+L610+L611+L612</f>
        <v>19208.165999999968</v>
      </c>
      <c r="M607" s="275">
        <f t="shared" ref="M607:N607" si="502">M608+M609+M610+M611+M612</f>
        <v>-106.86</v>
      </c>
      <c r="N607" s="275">
        <f t="shared" si="502"/>
        <v>19101.305999999968</v>
      </c>
      <c r="O607" s="275">
        <f t="shared" ref="O607" si="503">O608+O609+O610+O611+O612</f>
        <v>18863.11</v>
      </c>
    </row>
    <row r="608" spans="1:15" ht="35.25" customHeight="1" x14ac:dyDescent="0.2">
      <c r="A608" s="259" t="s">
        <v>1155</v>
      </c>
      <c r="B608" s="271">
        <v>801</v>
      </c>
      <c r="C608" s="252" t="s">
        <v>190</v>
      </c>
      <c r="D608" s="252" t="s">
        <v>207</v>
      </c>
      <c r="E608" s="252" t="s">
        <v>867</v>
      </c>
      <c r="F608" s="252" t="s">
        <v>1156</v>
      </c>
      <c r="G608" s="257">
        <v>0</v>
      </c>
      <c r="H608" s="257">
        <v>13134</v>
      </c>
      <c r="I608" s="257">
        <v>11721</v>
      </c>
      <c r="J608" s="257">
        <f>6644-1878</f>
        <v>4766</v>
      </c>
      <c r="K608" s="257">
        <f>I608+J608</f>
        <v>16487</v>
      </c>
      <c r="L608" s="257">
        <v>16487</v>
      </c>
      <c r="M608" s="257">
        <v>0</v>
      </c>
      <c r="N608" s="257">
        <f>L608+M608</f>
        <v>16487</v>
      </c>
      <c r="O608" s="257">
        <v>16487</v>
      </c>
    </row>
    <row r="609" spans="1:15" ht="35.25" hidden="1" customHeight="1" x14ac:dyDescent="0.2">
      <c r="A609" s="259" t="s">
        <v>1155</v>
      </c>
      <c r="B609" s="271">
        <v>801</v>
      </c>
      <c r="C609" s="252" t="s">
        <v>190</v>
      </c>
      <c r="D609" s="252" t="s">
        <v>207</v>
      </c>
      <c r="E609" s="252" t="s">
        <v>1094</v>
      </c>
      <c r="F609" s="252" t="s">
        <v>1156</v>
      </c>
      <c r="G609" s="257">
        <v>0</v>
      </c>
      <c r="H609" s="257">
        <v>3970</v>
      </c>
      <c r="I609" s="257">
        <v>0</v>
      </c>
      <c r="J609" s="257">
        <v>0</v>
      </c>
      <c r="K609" s="257">
        <f t="shared" ref="K609:K612" si="504">I609+J609</f>
        <v>0</v>
      </c>
      <c r="L609" s="257">
        <v>0</v>
      </c>
      <c r="M609" s="257">
        <v>0</v>
      </c>
      <c r="N609" s="257">
        <f>L609+M609</f>
        <v>0</v>
      </c>
      <c r="O609" s="257">
        <v>0</v>
      </c>
    </row>
    <row r="610" spans="1:15" ht="35.25" customHeight="1" x14ac:dyDescent="0.2">
      <c r="A610" s="259" t="s">
        <v>1155</v>
      </c>
      <c r="B610" s="271">
        <v>801</v>
      </c>
      <c r="C610" s="252" t="s">
        <v>190</v>
      </c>
      <c r="D610" s="252" t="s">
        <v>207</v>
      </c>
      <c r="E610" s="252" t="s">
        <v>1130</v>
      </c>
      <c r="F610" s="252" t="s">
        <v>1156</v>
      </c>
      <c r="G610" s="257">
        <v>0</v>
      </c>
      <c r="H610" s="257">
        <v>5050</v>
      </c>
      <c r="I610" s="257">
        <v>5050</v>
      </c>
      <c r="J610" s="257">
        <v>-5050</v>
      </c>
      <c r="K610" s="257">
        <f t="shared" si="504"/>
        <v>0</v>
      </c>
      <c r="L610" s="257">
        <v>2721.1659999999683</v>
      </c>
      <c r="M610" s="257">
        <v>-106.86</v>
      </c>
      <c r="N610" s="257">
        <f>L610+M610</f>
        <v>2614.3059999999682</v>
      </c>
      <c r="O610" s="257">
        <v>2376.11</v>
      </c>
    </row>
    <row r="611" spans="1:15" ht="35.25" hidden="1" customHeight="1" x14ac:dyDescent="0.2">
      <c r="A611" s="259" t="s">
        <v>1155</v>
      </c>
      <c r="B611" s="271">
        <v>801</v>
      </c>
      <c r="C611" s="252" t="s">
        <v>190</v>
      </c>
      <c r="D611" s="252" t="s">
        <v>207</v>
      </c>
      <c r="E611" s="252" t="s">
        <v>1016</v>
      </c>
      <c r="F611" s="252" t="s">
        <v>1156</v>
      </c>
      <c r="G611" s="257">
        <v>0</v>
      </c>
      <c r="H611" s="257">
        <v>0</v>
      </c>
      <c r="I611" s="257">
        <v>1561</v>
      </c>
      <c r="J611" s="257">
        <v>-1561</v>
      </c>
      <c r="K611" s="257">
        <f t="shared" si="504"/>
        <v>0</v>
      </c>
      <c r="L611" s="257">
        <v>0</v>
      </c>
      <c r="M611" s="257">
        <v>0</v>
      </c>
      <c r="N611" s="257">
        <f>L611+M611</f>
        <v>0</v>
      </c>
      <c r="O611" s="257">
        <v>0</v>
      </c>
    </row>
    <row r="612" spans="1:15" ht="35.25" hidden="1" customHeight="1" x14ac:dyDescent="0.2">
      <c r="A612" s="259" t="s">
        <v>1155</v>
      </c>
      <c r="B612" s="271">
        <v>801</v>
      </c>
      <c r="C612" s="252" t="s">
        <v>190</v>
      </c>
      <c r="D612" s="252" t="s">
        <v>207</v>
      </c>
      <c r="E612" s="252" t="s">
        <v>1157</v>
      </c>
      <c r="F612" s="252" t="s">
        <v>1156</v>
      </c>
      <c r="G612" s="257">
        <v>0</v>
      </c>
      <c r="H612" s="257">
        <v>0</v>
      </c>
      <c r="I612" s="257">
        <v>1400</v>
      </c>
      <c r="J612" s="257">
        <v>0</v>
      </c>
      <c r="K612" s="257">
        <f t="shared" si="504"/>
        <v>1400</v>
      </c>
      <c r="L612" s="257">
        <v>0</v>
      </c>
      <c r="M612" s="257">
        <v>0</v>
      </c>
      <c r="N612" s="257">
        <f>L612+M612</f>
        <v>0</v>
      </c>
      <c r="O612" s="257">
        <v>0</v>
      </c>
    </row>
    <row r="613" spans="1:15" ht="40.5" hidden="1" customHeight="1" x14ac:dyDescent="0.2">
      <c r="A613" s="462" t="s">
        <v>1093</v>
      </c>
      <c r="B613" s="249">
        <v>801</v>
      </c>
      <c r="C613" s="250" t="s">
        <v>190</v>
      </c>
      <c r="D613" s="250" t="s">
        <v>207</v>
      </c>
      <c r="E613" s="250" t="s">
        <v>867</v>
      </c>
      <c r="F613" s="252"/>
      <c r="G613" s="275">
        <v>23702</v>
      </c>
      <c r="H613" s="275">
        <v>-23702</v>
      </c>
      <c r="I613" s="275">
        <v>0</v>
      </c>
      <c r="J613" s="275">
        <f t="shared" ref="J613" si="505">J614+J625</f>
        <v>0</v>
      </c>
      <c r="K613" s="275">
        <f>L614+L625</f>
        <v>0</v>
      </c>
      <c r="L613" s="275">
        <f t="shared" ref="L613" si="506">L614+L625</f>
        <v>0</v>
      </c>
      <c r="M613" s="275">
        <f t="shared" ref="M613:N613" si="507">M614+M625</f>
        <v>0</v>
      </c>
      <c r="N613" s="275">
        <f t="shared" si="507"/>
        <v>0</v>
      </c>
      <c r="O613" s="275">
        <f t="shared" ref="O613" si="508">O614+O625</f>
        <v>0</v>
      </c>
    </row>
    <row r="614" spans="1:15" ht="18" hidden="1" customHeight="1" x14ac:dyDescent="0.2">
      <c r="A614" s="259" t="s">
        <v>506</v>
      </c>
      <c r="B614" s="249">
        <v>801</v>
      </c>
      <c r="C614" s="250" t="s">
        <v>190</v>
      </c>
      <c r="D614" s="250" t="s">
        <v>207</v>
      </c>
      <c r="E614" s="250" t="s">
        <v>867</v>
      </c>
      <c r="F614" s="252"/>
      <c r="G614" s="275">
        <v>20741</v>
      </c>
      <c r="H614" s="275">
        <v>-20741</v>
      </c>
      <c r="I614" s="275">
        <v>0</v>
      </c>
      <c r="J614" s="275">
        <f t="shared" ref="J614" si="509">J615+J616+J617+J618+J619+J620+J621+J622+J623+J624</f>
        <v>0</v>
      </c>
      <c r="K614" s="275">
        <f>L615+L616+L617+L618+L619+L620+L621+L622+L623+L624</f>
        <v>0</v>
      </c>
      <c r="L614" s="275">
        <f t="shared" ref="L614" si="510">L615+L616+L617+L618+L619+L620+L621+L622+L623+L624</f>
        <v>0</v>
      </c>
      <c r="M614" s="275">
        <f t="shared" ref="M614:N614" si="511">M615+M616+M617+M618+M619+M620+M621+M622+M623+M624</f>
        <v>0</v>
      </c>
      <c r="N614" s="275">
        <f t="shared" si="511"/>
        <v>0</v>
      </c>
      <c r="O614" s="275">
        <f t="shared" ref="O614" si="512">O615+O616+O617+O618+O619+O620+O621+O622+O623+O624</f>
        <v>0</v>
      </c>
    </row>
    <row r="615" spans="1:15" ht="19.5" hidden="1" customHeight="1" x14ac:dyDescent="0.2">
      <c r="A615" s="375" t="s">
        <v>897</v>
      </c>
      <c r="B615" s="271">
        <v>801</v>
      </c>
      <c r="C615" s="252" t="s">
        <v>190</v>
      </c>
      <c r="D615" s="252" t="s">
        <v>207</v>
      </c>
      <c r="E615" s="252" t="s">
        <v>868</v>
      </c>
      <c r="F615" s="252" t="s">
        <v>832</v>
      </c>
      <c r="G615" s="257">
        <v>9001</v>
      </c>
      <c r="H615" s="257">
        <v>-9001</v>
      </c>
      <c r="I615" s="257">
        <v>0</v>
      </c>
      <c r="J615" s="257">
        <v>0</v>
      </c>
      <c r="K615" s="257">
        <f t="shared" ref="K615:L624" si="513">I615+J615</f>
        <v>0</v>
      </c>
      <c r="L615" s="257">
        <f t="shared" si="513"/>
        <v>0</v>
      </c>
      <c r="M615" s="257">
        <v>0</v>
      </c>
      <c r="N615" s="257">
        <f t="shared" ref="N615:N624" si="514">L615+M615</f>
        <v>0</v>
      </c>
      <c r="O615" s="257">
        <f t="shared" ref="O615:O624" si="515">M615+N615</f>
        <v>0</v>
      </c>
    </row>
    <row r="616" spans="1:15" ht="32.25" hidden="1" customHeight="1" x14ac:dyDescent="0.2">
      <c r="A616" s="375" t="s">
        <v>900</v>
      </c>
      <c r="B616" s="271">
        <v>801</v>
      </c>
      <c r="C616" s="252" t="s">
        <v>190</v>
      </c>
      <c r="D616" s="252" t="s">
        <v>207</v>
      </c>
      <c r="E616" s="252" t="s">
        <v>868</v>
      </c>
      <c r="F616" s="252" t="s">
        <v>899</v>
      </c>
      <c r="G616" s="257">
        <v>2720</v>
      </c>
      <c r="H616" s="257">
        <v>-2720</v>
      </c>
      <c r="I616" s="257">
        <v>0</v>
      </c>
      <c r="J616" s="257">
        <v>0</v>
      </c>
      <c r="K616" s="257">
        <f t="shared" si="513"/>
        <v>0</v>
      </c>
      <c r="L616" s="257">
        <f t="shared" si="513"/>
        <v>0</v>
      </c>
      <c r="M616" s="257">
        <v>0</v>
      </c>
      <c r="N616" s="257">
        <f t="shared" si="514"/>
        <v>0</v>
      </c>
      <c r="O616" s="257">
        <f t="shared" si="515"/>
        <v>0</v>
      </c>
    </row>
    <row r="617" spans="1:15" ht="24.75" hidden="1" customHeight="1" x14ac:dyDescent="0.2">
      <c r="A617" s="375" t="s">
        <v>897</v>
      </c>
      <c r="B617" s="271">
        <v>801</v>
      </c>
      <c r="C617" s="252" t="s">
        <v>190</v>
      </c>
      <c r="D617" s="252" t="s">
        <v>207</v>
      </c>
      <c r="E617" s="252" t="s">
        <v>1094</v>
      </c>
      <c r="F617" s="252" t="s">
        <v>832</v>
      </c>
      <c r="G617" s="257">
        <v>3050</v>
      </c>
      <c r="H617" s="257">
        <v>-3050</v>
      </c>
      <c r="I617" s="257">
        <v>0</v>
      </c>
      <c r="J617" s="257">
        <v>0</v>
      </c>
      <c r="K617" s="257">
        <f t="shared" si="513"/>
        <v>0</v>
      </c>
      <c r="L617" s="257">
        <f t="shared" si="513"/>
        <v>0</v>
      </c>
      <c r="M617" s="257">
        <v>0</v>
      </c>
      <c r="N617" s="257">
        <f t="shared" si="514"/>
        <v>0</v>
      </c>
      <c r="O617" s="257">
        <f t="shared" si="515"/>
        <v>0</v>
      </c>
    </row>
    <row r="618" spans="1:15" ht="27" hidden="1" customHeight="1" x14ac:dyDescent="0.2">
      <c r="A618" s="375" t="s">
        <v>900</v>
      </c>
      <c r="B618" s="271">
        <v>801</v>
      </c>
      <c r="C618" s="252" t="s">
        <v>190</v>
      </c>
      <c r="D618" s="252" t="s">
        <v>207</v>
      </c>
      <c r="E618" s="252" t="s">
        <v>1094</v>
      </c>
      <c r="F618" s="252" t="s">
        <v>899</v>
      </c>
      <c r="G618" s="257">
        <v>920</v>
      </c>
      <c r="H618" s="257">
        <v>-920</v>
      </c>
      <c r="I618" s="257">
        <v>0</v>
      </c>
      <c r="J618" s="257">
        <v>0</v>
      </c>
      <c r="K618" s="257">
        <f t="shared" si="513"/>
        <v>0</v>
      </c>
      <c r="L618" s="257">
        <f t="shared" si="513"/>
        <v>0</v>
      </c>
      <c r="M618" s="257">
        <v>0</v>
      </c>
      <c r="N618" s="257">
        <f t="shared" si="514"/>
        <v>0</v>
      </c>
      <c r="O618" s="257">
        <f t="shared" si="515"/>
        <v>0</v>
      </c>
    </row>
    <row r="619" spans="1:15" ht="18.75" hidden="1" customHeight="1" x14ac:dyDescent="0.2">
      <c r="A619" s="259" t="s">
        <v>952</v>
      </c>
      <c r="B619" s="271">
        <v>801</v>
      </c>
      <c r="C619" s="252" t="s">
        <v>190</v>
      </c>
      <c r="D619" s="252" t="s">
        <v>207</v>
      </c>
      <c r="E619" s="252" t="s">
        <v>867</v>
      </c>
      <c r="F619" s="252" t="s">
        <v>919</v>
      </c>
      <c r="G619" s="257">
        <v>150</v>
      </c>
      <c r="H619" s="257">
        <v>-150</v>
      </c>
      <c r="I619" s="257">
        <v>0</v>
      </c>
      <c r="J619" s="257">
        <v>0</v>
      </c>
      <c r="K619" s="257">
        <f t="shared" si="513"/>
        <v>0</v>
      </c>
      <c r="L619" s="257">
        <f t="shared" si="513"/>
        <v>0</v>
      </c>
      <c r="M619" s="257">
        <v>0</v>
      </c>
      <c r="N619" s="257">
        <f t="shared" si="514"/>
        <v>0</v>
      </c>
      <c r="O619" s="257">
        <f t="shared" si="515"/>
        <v>0</v>
      </c>
    </row>
    <row r="620" spans="1:15" ht="18.75" hidden="1" customHeight="1" x14ac:dyDescent="0.2">
      <c r="A620" s="259" t="s">
        <v>99</v>
      </c>
      <c r="B620" s="271">
        <v>801</v>
      </c>
      <c r="C620" s="252" t="s">
        <v>190</v>
      </c>
      <c r="D620" s="252" t="s">
        <v>207</v>
      </c>
      <c r="E620" s="252" t="s">
        <v>867</v>
      </c>
      <c r="F620" s="252" t="s">
        <v>100</v>
      </c>
      <c r="G620" s="257">
        <v>600</v>
      </c>
      <c r="H620" s="257">
        <v>-600</v>
      </c>
      <c r="I620" s="257">
        <v>0</v>
      </c>
      <c r="J620" s="257">
        <v>0</v>
      </c>
      <c r="K620" s="257">
        <f t="shared" si="513"/>
        <v>0</v>
      </c>
      <c r="L620" s="257">
        <f t="shared" si="513"/>
        <v>0</v>
      </c>
      <c r="M620" s="257">
        <v>0</v>
      </c>
      <c r="N620" s="257">
        <f t="shared" si="514"/>
        <v>0</v>
      </c>
      <c r="O620" s="257">
        <f t="shared" si="515"/>
        <v>0</v>
      </c>
    </row>
    <row r="621" spans="1:15" ht="18.75" hidden="1" customHeight="1" x14ac:dyDescent="0.2">
      <c r="A621" s="259" t="s">
        <v>93</v>
      </c>
      <c r="B621" s="271">
        <v>801</v>
      </c>
      <c r="C621" s="252" t="s">
        <v>190</v>
      </c>
      <c r="D621" s="252" t="s">
        <v>207</v>
      </c>
      <c r="E621" s="252" t="s">
        <v>868</v>
      </c>
      <c r="F621" s="252" t="s">
        <v>94</v>
      </c>
      <c r="G621" s="257">
        <v>4000</v>
      </c>
      <c r="H621" s="257">
        <v>-4000</v>
      </c>
      <c r="I621" s="257">
        <v>0</v>
      </c>
      <c r="J621" s="257">
        <v>0</v>
      </c>
      <c r="K621" s="257">
        <f t="shared" si="513"/>
        <v>0</v>
      </c>
      <c r="L621" s="257">
        <f t="shared" si="513"/>
        <v>0</v>
      </c>
      <c r="M621" s="257">
        <v>0</v>
      </c>
      <c r="N621" s="257">
        <f t="shared" si="514"/>
        <v>0</v>
      </c>
      <c r="O621" s="257">
        <f t="shared" si="515"/>
        <v>0</v>
      </c>
    </row>
    <row r="622" spans="1:15" ht="18.75" hidden="1" customHeight="1" x14ac:dyDescent="0.2">
      <c r="A622" s="259" t="s">
        <v>103</v>
      </c>
      <c r="B622" s="271">
        <v>801</v>
      </c>
      <c r="C622" s="252" t="s">
        <v>190</v>
      </c>
      <c r="D622" s="252" t="s">
        <v>207</v>
      </c>
      <c r="E622" s="252" t="s">
        <v>868</v>
      </c>
      <c r="F622" s="252" t="s">
        <v>104</v>
      </c>
      <c r="G622" s="257">
        <v>200</v>
      </c>
      <c r="H622" s="257">
        <v>-200</v>
      </c>
      <c r="I622" s="257">
        <v>0</v>
      </c>
      <c r="J622" s="257">
        <v>0</v>
      </c>
      <c r="K622" s="257">
        <f t="shared" si="513"/>
        <v>0</v>
      </c>
      <c r="L622" s="257">
        <f t="shared" si="513"/>
        <v>0</v>
      </c>
      <c r="M622" s="257">
        <v>0</v>
      </c>
      <c r="N622" s="257">
        <f t="shared" si="514"/>
        <v>0</v>
      </c>
      <c r="O622" s="257">
        <f t="shared" si="515"/>
        <v>0</v>
      </c>
    </row>
    <row r="623" spans="1:15" ht="18.75" hidden="1" customHeight="1" x14ac:dyDescent="0.2">
      <c r="A623" s="259" t="s">
        <v>105</v>
      </c>
      <c r="B623" s="271">
        <v>801</v>
      </c>
      <c r="C623" s="252" t="s">
        <v>190</v>
      </c>
      <c r="D623" s="252" t="s">
        <v>207</v>
      </c>
      <c r="E623" s="252" t="s">
        <v>868</v>
      </c>
      <c r="F623" s="252" t="s">
        <v>106</v>
      </c>
      <c r="G623" s="257">
        <v>100</v>
      </c>
      <c r="H623" s="257">
        <v>-100</v>
      </c>
      <c r="I623" s="257">
        <v>0</v>
      </c>
      <c r="J623" s="257">
        <v>0</v>
      </c>
      <c r="K623" s="257">
        <f t="shared" si="513"/>
        <v>0</v>
      </c>
      <c r="L623" s="257">
        <f t="shared" si="513"/>
        <v>0</v>
      </c>
      <c r="M623" s="257">
        <v>0</v>
      </c>
      <c r="N623" s="257">
        <f t="shared" si="514"/>
        <v>0</v>
      </c>
      <c r="O623" s="257">
        <f t="shared" si="515"/>
        <v>0</v>
      </c>
    </row>
    <row r="624" spans="1:15" ht="18.75" hidden="1" customHeight="1" x14ac:dyDescent="0.2">
      <c r="A624" s="259" t="s">
        <v>920</v>
      </c>
      <c r="B624" s="271">
        <v>801</v>
      </c>
      <c r="C624" s="252" t="s">
        <v>190</v>
      </c>
      <c r="D624" s="252" t="s">
        <v>207</v>
      </c>
      <c r="E624" s="252" t="s">
        <v>868</v>
      </c>
      <c r="F624" s="252" t="s">
        <v>905</v>
      </c>
      <c r="G624" s="257">
        <v>0</v>
      </c>
      <c r="H624" s="257">
        <v>0</v>
      </c>
      <c r="I624" s="257">
        <v>0</v>
      </c>
      <c r="J624" s="257">
        <f t="shared" ref="J624" si="516">H624+I624</f>
        <v>0</v>
      </c>
      <c r="K624" s="257">
        <f t="shared" si="513"/>
        <v>0</v>
      </c>
      <c r="L624" s="257">
        <f t="shared" si="513"/>
        <v>0</v>
      </c>
      <c r="M624" s="257">
        <f>L624+L624</f>
        <v>0</v>
      </c>
      <c r="N624" s="257">
        <f t="shared" si="514"/>
        <v>0</v>
      </c>
      <c r="O624" s="257">
        <f t="shared" si="515"/>
        <v>0</v>
      </c>
    </row>
    <row r="625" spans="1:15" ht="18.75" hidden="1" customHeight="1" x14ac:dyDescent="0.2">
      <c r="A625" s="259" t="s">
        <v>893</v>
      </c>
      <c r="B625" s="271">
        <v>801</v>
      </c>
      <c r="C625" s="252" t="s">
        <v>190</v>
      </c>
      <c r="D625" s="252" t="s">
        <v>207</v>
      </c>
      <c r="E625" s="252" t="s">
        <v>892</v>
      </c>
      <c r="F625" s="252"/>
      <c r="G625" s="275">
        <v>2961</v>
      </c>
      <c r="H625" s="275">
        <v>-2961</v>
      </c>
      <c r="I625" s="275">
        <v>0</v>
      </c>
      <c r="J625" s="275">
        <f>J626+J627+J628+J629+J631+J630+J632+J633</f>
        <v>0</v>
      </c>
      <c r="K625" s="275">
        <f>L626+L627+L628+L629+L631+L630+L632+L633</f>
        <v>0</v>
      </c>
      <c r="L625" s="275">
        <f t="shared" ref="L625" si="517">L626+L627+L628+L629+L631+L630+L632+L633</f>
        <v>0</v>
      </c>
      <c r="M625" s="275">
        <f>M626+M627+M628+M629+M631+M630+M632+M633</f>
        <v>0</v>
      </c>
      <c r="N625" s="275">
        <f t="shared" ref="N625:O625" si="518">N626+N627+N628+N629+N631+N630+N632+N633</f>
        <v>0</v>
      </c>
      <c r="O625" s="275">
        <f t="shared" si="518"/>
        <v>0</v>
      </c>
    </row>
    <row r="626" spans="1:15" ht="18.75" hidden="1" customHeight="1" x14ac:dyDescent="0.2">
      <c r="A626" s="375" t="s">
        <v>897</v>
      </c>
      <c r="B626" s="271">
        <v>801</v>
      </c>
      <c r="C626" s="252" t="s">
        <v>190</v>
      </c>
      <c r="D626" s="252" t="s">
        <v>207</v>
      </c>
      <c r="E626" s="252" t="s">
        <v>892</v>
      </c>
      <c r="F626" s="252" t="s">
        <v>832</v>
      </c>
      <c r="G626" s="257">
        <v>1199</v>
      </c>
      <c r="H626" s="257">
        <v>-1199</v>
      </c>
      <c r="I626" s="257">
        <v>0</v>
      </c>
      <c r="J626" s="257">
        <v>0</v>
      </c>
      <c r="K626" s="257">
        <f t="shared" ref="K626:L633" si="519">I626+J626</f>
        <v>0</v>
      </c>
      <c r="L626" s="257">
        <f t="shared" si="519"/>
        <v>0</v>
      </c>
      <c r="M626" s="257">
        <v>0</v>
      </c>
      <c r="N626" s="257">
        <f t="shared" ref="N626:N633" si="520">L626+M626</f>
        <v>0</v>
      </c>
      <c r="O626" s="257">
        <f t="shared" ref="O626:O633" si="521">M626+N626</f>
        <v>0</v>
      </c>
    </row>
    <row r="627" spans="1:15" ht="18.75" hidden="1" customHeight="1" x14ac:dyDescent="0.2">
      <c r="A627" s="375" t="s">
        <v>907</v>
      </c>
      <c r="B627" s="271">
        <v>801</v>
      </c>
      <c r="C627" s="252" t="s">
        <v>190</v>
      </c>
      <c r="D627" s="252" t="s">
        <v>207</v>
      </c>
      <c r="E627" s="252" t="s">
        <v>892</v>
      </c>
      <c r="F627" s="252" t="s">
        <v>96</v>
      </c>
      <c r="G627" s="257">
        <v>0</v>
      </c>
      <c r="H627" s="257">
        <v>0</v>
      </c>
      <c r="I627" s="257">
        <v>0</v>
      </c>
      <c r="J627" s="257">
        <f t="shared" ref="J627:J630" si="522">H627+I627</f>
        <v>0</v>
      </c>
      <c r="K627" s="257">
        <f t="shared" si="519"/>
        <v>0</v>
      </c>
      <c r="L627" s="257">
        <f t="shared" si="519"/>
        <v>0</v>
      </c>
      <c r="M627" s="257">
        <f>L627+L627</f>
        <v>0</v>
      </c>
      <c r="N627" s="257">
        <f t="shared" si="520"/>
        <v>0</v>
      </c>
      <c r="O627" s="257">
        <f t="shared" si="521"/>
        <v>0</v>
      </c>
    </row>
    <row r="628" spans="1:15" ht="32.25" hidden="1" customHeight="1" x14ac:dyDescent="0.2">
      <c r="A628" s="375" t="s">
        <v>900</v>
      </c>
      <c r="B628" s="271">
        <v>801</v>
      </c>
      <c r="C628" s="252" t="s">
        <v>190</v>
      </c>
      <c r="D628" s="252" t="s">
        <v>207</v>
      </c>
      <c r="E628" s="252" t="s">
        <v>892</v>
      </c>
      <c r="F628" s="382" t="s">
        <v>899</v>
      </c>
      <c r="G628" s="257">
        <v>362</v>
      </c>
      <c r="H628" s="257">
        <v>-362</v>
      </c>
      <c r="I628" s="257">
        <v>0</v>
      </c>
      <c r="J628" s="257">
        <v>0</v>
      </c>
      <c r="K628" s="257">
        <f t="shared" si="519"/>
        <v>0</v>
      </c>
      <c r="L628" s="257">
        <f t="shared" si="519"/>
        <v>0</v>
      </c>
      <c r="M628" s="257">
        <v>0</v>
      </c>
      <c r="N628" s="257">
        <f t="shared" si="520"/>
        <v>0</v>
      </c>
      <c r="O628" s="257">
        <f t="shared" si="521"/>
        <v>0</v>
      </c>
    </row>
    <row r="629" spans="1:15" ht="16.5" hidden="1" customHeight="1" x14ac:dyDescent="0.2">
      <c r="A629" s="259" t="s">
        <v>99</v>
      </c>
      <c r="B629" s="271">
        <v>801</v>
      </c>
      <c r="C629" s="252" t="s">
        <v>190</v>
      </c>
      <c r="D629" s="252" t="s">
        <v>207</v>
      </c>
      <c r="E629" s="252" t="s">
        <v>892</v>
      </c>
      <c r="F629" s="252" t="s">
        <v>100</v>
      </c>
      <c r="G629" s="257">
        <v>190</v>
      </c>
      <c r="H629" s="257">
        <v>-190</v>
      </c>
      <c r="I629" s="257">
        <v>0</v>
      </c>
      <c r="J629" s="257">
        <v>0</v>
      </c>
      <c r="K629" s="257">
        <f t="shared" si="519"/>
        <v>0</v>
      </c>
      <c r="L629" s="257">
        <f t="shared" si="519"/>
        <v>0</v>
      </c>
      <c r="M629" s="257">
        <v>0</v>
      </c>
      <c r="N629" s="257">
        <f t="shared" si="520"/>
        <v>0</v>
      </c>
      <c r="O629" s="257">
        <f t="shared" si="521"/>
        <v>0</v>
      </c>
    </row>
    <row r="630" spans="1:15" ht="16.5" hidden="1" customHeight="1" x14ac:dyDescent="0.2">
      <c r="A630" s="259" t="s">
        <v>921</v>
      </c>
      <c r="B630" s="271">
        <v>801</v>
      </c>
      <c r="C630" s="252" t="s">
        <v>190</v>
      </c>
      <c r="D630" s="252" t="s">
        <v>207</v>
      </c>
      <c r="E630" s="252" t="s">
        <v>892</v>
      </c>
      <c r="F630" s="252" t="s">
        <v>102</v>
      </c>
      <c r="G630" s="257">
        <v>0</v>
      </c>
      <c r="H630" s="257">
        <v>0</v>
      </c>
      <c r="I630" s="257">
        <v>0</v>
      </c>
      <c r="J630" s="257">
        <f t="shared" si="522"/>
        <v>0</v>
      </c>
      <c r="K630" s="257">
        <f t="shared" si="519"/>
        <v>0</v>
      </c>
      <c r="L630" s="257">
        <f t="shared" si="519"/>
        <v>0</v>
      </c>
      <c r="M630" s="257">
        <f>L630+L630</f>
        <v>0</v>
      </c>
      <c r="N630" s="257">
        <f t="shared" si="520"/>
        <v>0</v>
      </c>
      <c r="O630" s="257">
        <f t="shared" si="521"/>
        <v>0</v>
      </c>
    </row>
    <row r="631" spans="1:15" ht="16.5" hidden="1" customHeight="1" x14ac:dyDescent="0.2">
      <c r="A631" s="259" t="s">
        <v>93</v>
      </c>
      <c r="B631" s="271">
        <v>801</v>
      </c>
      <c r="C631" s="252" t="s">
        <v>190</v>
      </c>
      <c r="D631" s="252" t="s">
        <v>207</v>
      </c>
      <c r="E631" s="252" t="s">
        <v>892</v>
      </c>
      <c r="F631" s="252" t="s">
        <v>94</v>
      </c>
      <c r="G631" s="257">
        <v>1200</v>
      </c>
      <c r="H631" s="257">
        <v>-1200</v>
      </c>
      <c r="I631" s="257">
        <v>0</v>
      </c>
      <c r="J631" s="257">
        <v>0</v>
      </c>
      <c r="K631" s="257">
        <f t="shared" si="519"/>
        <v>0</v>
      </c>
      <c r="L631" s="257">
        <f t="shared" si="519"/>
        <v>0</v>
      </c>
      <c r="M631" s="257">
        <v>0</v>
      </c>
      <c r="N631" s="257">
        <f t="shared" si="520"/>
        <v>0</v>
      </c>
      <c r="O631" s="257">
        <f t="shared" si="521"/>
        <v>0</v>
      </c>
    </row>
    <row r="632" spans="1:15" ht="16.5" hidden="1" customHeight="1" x14ac:dyDescent="0.2">
      <c r="A632" s="259" t="s">
        <v>103</v>
      </c>
      <c r="B632" s="271">
        <v>801</v>
      </c>
      <c r="C632" s="252" t="s">
        <v>190</v>
      </c>
      <c r="D632" s="252" t="s">
        <v>207</v>
      </c>
      <c r="E632" s="252" t="s">
        <v>892</v>
      </c>
      <c r="F632" s="252" t="s">
        <v>104</v>
      </c>
      <c r="G632" s="257">
        <v>10</v>
      </c>
      <c r="H632" s="257">
        <v>-10</v>
      </c>
      <c r="I632" s="257">
        <v>0</v>
      </c>
      <c r="J632" s="257">
        <v>0</v>
      </c>
      <c r="K632" s="257">
        <f t="shared" si="519"/>
        <v>0</v>
      </c>
      <c r="L632" s="257">
        <f t="shared" si="519"/>
        <v>0</v>
      </c>
      <c r="M632" s="257">
        <v>0</v>
      </c>
      <c r="N632" s="257">
        <f t="shared" si="520"/>
        <v>0</v>
      </c>
      <c r="O632" s="257">
        <f t="shared" si="521"/>
        <v>0</v>
      </c>
    </row>
    <row r="633" spans="1:15" ht="20.25" hidden="1" customHeight="1" x14ac:dyDescent="0.2">
      <c r="A633" s="259" t="s">
        <v>105</v>
      </c>
      <c r="B633" s="271">
        <v>801</v>
      </c>
      <c r="C633" s="252" t="s">
        <v>190</v>
      </c>
      <c r="D633" s="252" t="s">
        <v>207</v>
      </c>
      <c r="E633" s="252" t="s">
        <v>892</v>
      </c>
      <c r="F633" s="252" t="s">
        <v>106</v>
      </c>
      <c r="G633" s="257">
        <v>0</v>
      </c>
      <c r="H633" s="257">
        <v>0</v>
      </c>
      <c r="I633" s="257">
        <v>0</v>
      </c>
      <c r="J633" s="257">
        <v>0</v>
      </c>
      <c r="K633" s="257">
        <f t="shared" si="519"/>
        <v>0</v>
      </c>
      <c r="L633" s="257">
        <f t="shared" si="519"/>
        <v>0</v>
      </c>
      <c r="M633" s="257">
        <v>0</v>
      </c>
      <c r="N633" s="257">
        <f t="shared" si="520"/>
        <v>0</v>
      </c>
      <c r="O633" s="257">
        <f t="shared" si="521"/>
        <v>0</v>
      </c>
    </row>
    <row r="634" spans="1:15" s="430" customFormat="1" ht="18.75" customHeight="1" x14ac:dyDescent="0.2">
      <c r="A634" s="462" t="s">
        <v>236</v>
      </c>
      <c r="B634" s="249">
        <v>801</v>
      </c>
      <c r="C634" s="250" t="s">
        <v>194</v>
      </c>
      <c r="D634" s="250"/>
      <c r="E634" s="250"/>
      <c r="F634" s="250"/>
      <c r="G634" s="275">
        <v>6752.2</v>
      </c>
      <c r="H634" s="275">
        <v>-343.2</v>
      </c>
      <c r="I634" s="275">
        <v>5583.7</v>
      </c>
      <c r="J634" s="275">
        <f>J641+J692</f>
        <v>604.79999999999995</v>
      </c>
      <c r="K634" s="275">
        <f>L641+L692</f>
        <v>6031</v>
      </c>
      <c r="L634" s="275">
        <f>L641+L682+L692</f>
        <v>6031</v>
      </c>
      <c r="M634" s="275">
        <f t="shared" ref="M634:O634" si="523">M641+M682+M692</f>
        <v>0</v>
      </c>
      <c r="N634" s="275">
        <f t="shared" si="523"/>
        <v>6031</v>
      </c>
      <c r="O634" s="275">
        <f t="shared" si="523"/>
        <v>6031</v>
      </c>
    </row>
    <row r="635" spans="1:15" ht="12.75" hidden="1" customHeight="1" x14ac:dyDescent="0.2">
      <c r="A635" s="462" t="s">
        <v>211</v>
      </c>
      <c r="B635" s="249">
        <v>801</v>
      </c>
      <c r="C635" s="250" t="s">
        <v>194</v>
      </c>
      <c r="D635" s="250" t="s">
        <v>192</v>
      </c>
      <c r="E635" s="250"/>
      <c r="F635" s="250"/>
      <c r="G635" s="257" t="e">
        <v>#REF!</v>
      </c>
      <c r="H635" s="257" t="e">
        <v>#REF!</v>
      </c>
      <c r="I635" s="257" t="e">
        <v>#REF!</v>
      </c>
      <c r="J635" s="257" t="e">
        <f t="shared" ref="J635:M637" si="524">J636</f>
        <v>#REF!</v>
      </c>
      <c r="K635" s="257" t="e">
        <f>L636</f>
        <v>#REF!</v>
      </c>
      <c r="L635" s="257" t="e">
        <f t="shared" ref="L635:O637" si="525">L636</f>
        <v>#REF!</v>
      </c>
      <c r="M635" s="257" t="e">
        <f t="shared" si="524"/>
        <v>#REF!</v>
      </c>
      <c r="N635" s="257" t="e">
        <f t="shared" si="525"/>
        <v>#REF!</v>
      </c>
      <c r="O635" s="257" t="e">
        <f t="shared" si="525"/>
        <v>#REF!</v>
      </c>
    </row>
    <row r="636" spans="1:15" ht="12.75" hidden="1" customHeight="1" x14ac:dyDescent="0.2">
      <c r="A636" s="259" t="s">
        <v>61</v>
      </c>
      <c r="B636" s="271">
        <v>801</v>
      </c>
      <c r="C636" s="252" t="s">
        <v>194</v>
      </c>
      <c r="D636" s="252" t="s">
        <v>192</v>
      </c>
      <c r="E636" s="252" t="s">
        <v>62</v>
      </c>
      <c r="F636" s="252"/>
      <c r="G636" s="257" t="e">
        <v>#REF!</v>
      </c>
      <c r="H636" s="257" t="e">
        <v>#REF!</v>
      </c>
      <c r="I636" s="257" t="e">
        <v>#REF!</v>
      </c>
      <c r="J636" s="257" t="e">
        <f t="shared" ref="J636" si="526">J637+J639</f>
        <v>#REF!</v>
      </c>
      <c r="K636" s="257" t="e">
        <f>L637+L639</f>
        <v>#REF!</v>
      </c>
      <c r="L636" s="257" t="e">
        <f t="shared" ref="L636" si="527">L637+L639</f>
        <v>#REF!</v>
      </c>
      <c r="M636" s="257" t="e">
        <f t="shared" ref="M636:N636" si="528">M637+M639</f>
        <v>#REF!</v>
      </c>
      <c r="N636" s="257" t="e">
        <f t="shared" si="528"/>
        <v>#REF!</v>
      </c>
      <c r="O636" s="257" t="e">
        <f t="shared" ref="O636" si="529">O637+O639</f>
        <v>#REF!</v>
      </c>
    </row>
    <row r="637" spans="1:15" ht="25.5" hidden="1" customHeight="1" x14ac:dyDescent="0.2">
      <c r="A637" s="259" t="s">
        <v>183</v>
      </c>
      <c r="B637" s="271">
        <v>801</v>
      </c>
      <c r="C637" s="252" t="s">
        <v>194</v>
      </c>
      <c r="D637" s="252" t="s">
        <v>192</v>
      </c>
      <c r="E637" s="252" t="s">
        <v>182</v>
      </c>
      <c r="F637" s="252"/>
      <c r="G637" s="257" t="e">
        <v>#REF!</v>
      </c>
      <c r="H637" s="257" t="e">
        <v>#REF!</v>
      </c>
      <c r="I637" s="257" t="e">
        <v>#REF!</v>
      </c>
      <c r="J637" s="257" t="e">
        <f t="shared" si="524"/>
        <v>#REF!</v>
      </c>
      <c r="K637" s="257" t="e">
        <f>L638</f>
        <v>#REF!</v>
      </c>
      <c r="L637" s="257" t="e">
        <f t="shared" si="525"/>
        <v>#REF!</v>
      </c>
      <c r="M637" s="257" t="e">
        <f t="shared" si="525"/>
        <v>#REF!</v>
      </c>
      <c r="N637" s="257" t="e">
        <f t="shared" si="525"/>
        <v>#REF!</v>
      </c>
      <c r="O637" s="257" t="e">
        <f t="shared" si="525"/>
        <v>#REF!</v>
      </c>
    </row>
    <row r="638" spans="1:15" ht="12.75" hidden="1" customHeight="1" x14ac:dyDescent="0.2">
      <c r="A638" s="259" t="s">
        <v>63</v>
      </c>
      <c r="B638" s="271">
        <v>801</v>
      </c>
      <c r="C638" s="252" t="s">
        <v>194</v>
      </c>
      <c r="D638" s="252" t="s">
        <v>192</v>
      </c>
      <c r="E638" s="252" t="s">
        <v>182</v>
      </c>
      <c r="F638" s="252" t="s">
        <v>64</v>
      </c>
      <c r="G638" s="257" t="e">
        <v>#REF!</v>
      </c>
      <c r="H638" s="257" t="e">
        <v>#REF!</v>
      </c>
      <c r="I638" s="257" t="e">
        <v>#REF!</v>
      </c>
      <c r="J638" s="257" t="e">
        <f>#REF!+H638</f>
        <v>#REF!</v>
      </c>
      <c r="K638" s="257" t="e">
        <f t="shared" ref="K638" si="530">G638+I638</f>
        <v>#REF!</v>
      </c>
      <c r="L638" s="257" t="e">
        <f>I638+J638</f>
        <v>#REF!</v>
      </c>
      <c r="M638" s="257" t="e">
        <f>I638+L638</f>
        <v>#REF!</v>
      </c>
      <c r="N638" s="257" t="e">
        <f>J638+L638</f>
        <v>#REF!</v>
      </c>
      <c r="O638" s="257" t="e">
        <f>L638+M638</f>
        <v>#REF!</v>
      </c>
    </row>
    <row r="639" spans="1:15" ht="25.5" hidden="1" customHeight="1" x14ac:dyDescent="0.2">
      <c r="A639" s="259" t="s">
        <v>185</v>
      </c>
      <c r="B639" s="271">
        <v>801</v>
      </c>
      <c r="C639" s="252" t="s">
        <v>194</v>
      </c>
      <c r="D639" s="252" t="s">
        <v>192</v>
      </c>
      <c r="E639" s="252" t="s">
        <v>184</v>
      </c>
      <c r="F639" s="252"/>
      <c r="G639" s="257" t="e">
        <v>#REF!</v>
      </c>
      <c r="H639" s="257" t="e">
        <v>#REF!</v>
      </c>
      <c r="I639" s="257" t="e">
        <v>#REF!</v>
      </c>
      <c r="J639" s="257" t="e">
        <f t="shared" ref="J639:O639" si="531">J640</f>
        <v>#REF!</v>
      </c>
      <c r="K639" s="257" t="e">
        <f>L640</f>
        <v>#REF!</v>
      </c>
      <c r="L639" s="257" t="e">
        <f t="shared" si="531"/>
        <v>#REF!</v>
      </c>
      <c r="M639" s="257" t="e">
        <f t="shared" si="531"/>
        <v>#REF!</v>
      </c>
      <c r="N639" s="257" t="e">
        <f t="shared" si="531"/>
        <v>#REF!</v>
      </c>
      <c r="O639" s="257" t="e">
        <f t="shared" si="531"/>
        <v>#REF!</v>
      </c>
    </row>
    <row r="640" spans="1:15" ht="12.75" hidden="1" customHeight="1" x14ac:dyDescent="0.2">
      <c r="A640" s="259" t="s">
        <v>63</v>
      </c>
      <c r="B640" s="271">
        <v>801</v>
      </c>
      <c r="C640" s="252" t="s">
        <v>194</v>
      </c>
      <c r="D640" s="252" t="s">
        <v>192</v>
      </c>
      <c r="E640" s="252" t="s">
        <v>184</v>
      </c>
      <c r="F640" s="252" t="s">
        <v>64</v>
      </c>
      <c r="G640" s="257" t="e">
        <v>#REF!</v>
      </c>
      <c r="H640" s="257" t="e">
        <v>#REF!</v>
      </c>
      <c r="I640" s="257" t="e">
        <v>#REF!</v>
      </c>
      <c r="J640" s="257" t="e">
        <f>#REF!+H640</f>
        <v>#REF!</v>
      </c>
      <c r="K640" s="257" t="e">
        <f t="shared" ref="K640" si="532">G640+I640</f>
        <v>#REF!</v>
      </c>
      <c r="L640" s="257" t="e">
        <f>I640+J640</f>
        <v>#REF!</v>
      </c>
      <c r="M640" s="257" t="e">
        <f>I640+L640</f>
        <v>#REF!</v>
      </c>
      <c r="N640" s="257" t="e">
        <f>J640+L640</f>
        <v>#REF!</v>
      </c>
      <c r="O640" s="257" t="e">
        <f>L640+M640</f>
        <v>#REF!</v>
      </c>
    </row>
    <row r="641" spans="1:15" s="430" customFormat="1" ht="21" customHeight="1" x14ac:dyDescent="0.2">
      <c r="A641" s="462" t="s">
        <v>1165</v>
      </c>
      <c r="B641" s="249">
        <v>801</v>
      </c>
      <c r="C641" s="250" t="s">
        <v>194</v>
      </c>
      <c r="D641" s="250" t="s">
        <v>212</v>
      </c>
      <c r="E641" s="250"/>
      <c r="F641" s="250"/>
      <c r="G641" s="275">
        <v>6752.2</v>
      </c>
      <c r="H641" s="275">
        <v>-343.2</v>
      </c>
      <c r="I641" s="275">
        <v>5583.7</v>
      </c>
      <c r="J641" s="275">
        <f t="shared" ref="J641" si="533">J660+J665+J670+J664+J667</f>
        <v>604.79999999999995</v>
      </c>
      <c r="K641" s="275">
        <f>L660+L665+L670+L664+L667</f>
        <v>6031</v>
      </c>
      <c r="L641" s="275">
        <f>L660+L665+L670+L664+L667</f>
        <v>6031</v>
      </c>
      <c r="M641" s="275">
        <f t="shared" ref="M641:N641" si="534">M660+M665+M670+M664+M667</f>
        <v>-6031</v>
      </c>
      <c r="N641" s="275">
        <f t="shared" si="534"/>
        <v>0</v>
      </c>
      <c r="O641" s="275">
        <f>O660+O665+O670+O664+O667</f>
        <v>0</v>
      </c>
    </row>
    <row r="642" spans="1:15" ht="36.75" hidden="1" customHeight="1" x14ac:dyDescent="0.2">
      <c r="A642" s="259" t="s">
        <v>981</v>
      </c>
      <c r="B642" s="271">
        <v>801</v>
      </c>
      <c r="C642" s="252" t="s">
        <v>194</v>
      </c>
      <c r="D642" s="252" t="s">
        <v>212</v>
      </c>
      <c r="E642" s="252" t="s">
        <v>488</v>
      </c>
      <c r="F642" s="252"/>
      <c r="G642" s="257" t="e">
        <v>#REF!</v>
      </c>
      <c r="H642" s="257" t="e">
        <v>#REF!</v>
      </c>
      <c r="I642" s="257" t="e">
        <v>#REF!</v>
      </c>
      <c r="J642" s="257" t="e">
        <f t="shared" ref="J642" si="535">J643+J644+J645</f>
        <v>#REF!</v>
      </c>
      <c r="K642" s="257" t="e">
        <f>L643+L644+L645</f>
        <v>#REF!</v>
      </c>
      <c r="L642" s="257" t="e">
        <f t="shared" ref="L642" si="536">L643+L644+L645</f>
        <v>#REF!</v>
      </c>
      <c r="M642" s="257" t="e">
        <f t="shared" ref="M642:N642" si="537">M643+M644+M645</f>
        <v>#REF!</v>
      </c>
      <c r="N642" s="257" t="e">
        <f t="shared" si="537"/>
        <v>#REF!</v>
      </c>
      <c r="O642" s="257" t="e">
        <f t="shared" ref="O642" si="538">O643+O644+O645</f>
        <v>#REF!</v>
      </c>
    </row>
    <row r="643" spans="1:15" ht="27" hidden="1" customHeight="1" x14ac:dyDescent="0.2">
      <c r="A643" s="259" t="s">
        <v>513</v>
      </c>
      <c r="B643" s="271">
        <v>801</v>
      </c>
      <c r="C643" s="252" t="s">
        <v>194</v>
      </c>
      <c r="D643" s="252" t="s">
        <v>212</v>
      </c>
      <c r="E643" s="252" t="s">
        <v>524</v>
      </c>
      <c r="F643" s="252" t="s">
        <v>94</v>
      </c>
      <c r="G643" s="257" t="e">
        <v>#REF!</v>
      </c>
      <c r="H643" s="257" t="e">
        <v>#REF!</v>
      </c>
      <c r="I643" s="257" t="e">
        <v>#REF!</v>
      </c>
      <c r="J643" s="257" t="e">
        <f>#REF!+H643</f>
        <v>#REF!</v>
      </c>
      <c r="K643" s="257" t="e">
        <f>#REF!+I643</f>
        <v>#REF!</v>
      </c>
      <c r="L643" s="257" t="e">
        <f>#REF!+J643</f>
        <v>#REF!</v>
      </c>
      <c r="M643" s="257" t="e">
        <f>#REF!+L643</f>
        <v>#REF!</v>
      </c>
      <c r="N643" s="257" t="e">
        <f>#REF!+L643</f>
        <v>#REF!</v>
      </c>
      <c r="O643" s="257" t="e">
        <f>#REF!+M643</f>
        <v>#REF!</v>
      </c>
    </row>
    <row r="644" spans="1:15" ht="27.75" hidden="1" customHeight="1" x14ac:dyDescent="0.2">
      <c r="A644" s="259" t="s">
        <v>737</v>
      </c>
      <c r="B644" s="271">
        <v>801</v>
      </c>
      <c r="C644" s="252" t="s">
        <v>194</v>
      </c>
      <c r="D644" s="252" t="s">
        <v>212</v>
      </c>
      <c r="E644" s="252" t="s">
        <v>525</v>
      </c>
      <c r="F644" s="252" t="s">
        <v>94</v>
      </c>
      <c r="G644" s="257" t="e">
        <v>#REF!</v>
      </c>
      <c r="H644" s="257" t="e">
        <v>#REF!</v>
      </c>
      <c r="I644" s="257" t="e">
        <v>#REF!</v>
      </c>
      <c r="J644" s="257" t="e">
        <f>#REF!+H644</f>
        <v>#REF!</v>
      </c>
      <c r="K644" s="257" t="e">
        <f>#REF!+I644</f>
        <v>#REF!</v>
      </c>
      <c r="L644" s="257" t="e">
        <f>#REF!+J644</f>
        <v>#REF!</v>
      </c>
      <c r="M644" s="257" t="e">
        <f>#REF!+L644</f>
        <v>#REF!</v>
      </c>
      <c r="N644" s="257" t="e">
        <f>#REF!+L644</f>
        <v>#REF!</v>
      </c>
      <c r="O644" s="257" t="e">
        <f>#REF!+M644</f>
        <v>#REF!</v>
      </c>
    </row>
    <row r="645" spans="1:15" hidden="1" x14ac:dyDescent="0.2">
      <c r="A645" s="259" t="s">
        <v>514</v>
      </c>
      <c r="B645" s="271">
        <v>801</v>
      </c>
      <c r="C645" s="252" t="s">
        <v>194</v>
      </c>
      <c r="D645" s="252" t="s">
        <v>212</v>
      </c>
      <c r="E645" s="252" t="s">
        <v>528</v>
      </c>
      <c r="F645" s="252" t="s">
        <v>94</v>
      </c>
      <c r="G645" s="257" t="e">
        <v>#REF!</v>
      </c>
      <c r="H645" s="257" t="e">
        <v>#REF!</v>
      </c>
      <c r="I645" s="257" t="e">
        <v>#REF!</v>
      </c>
      <c r="J645" s="257" t="e">
        <f>#REF!+H645</f>
        <v>#REF!</v>
      </c>
      <c r="K645" s="257" t="e">
        <f>#REF!+I645</f>
        <v>#REF!</v>
      </c>
      <c r="L645" s="257" t="e">
        <f>#REF!+J645</f>
        <v>#REF!</v>
      </c>
      <c r="M645" s="257" t="e">
        <f>#REF!+L645</f>
        <v>#REF!</v>
      </c>
      <c r="N645" s="257" t="e">
        <f>#REF!+L645</f>
        <v>#REF!</v>
      </c>
      <c r="O645" s="257" t="e">
        <f>#REF!+M645</f>
        <v>#REF!</v>
      </c>
    </row>
    <row r="646" spans="1:15" hidden="1" x14ac:dyDescent="0.2">
      <c r="A646" s="259" t="s">
        <v>404</v>
      </c>
      <c r="B646" s="271">
        <v>801</v>
      </c>
      <c r="C646" s="252" t="s">
        <v>194</v>
      </c>
      <c r="D646" s="252" t="s">
        <v>212</v>
      </c>
      <c r="E646" s="252" t="s">
        <v>62</v>
      </c>
      <c r="F646" s="252"/>
      <c r="G646" s="257">
        <v>-960</v>
      </c>
      <c r="H646" s="257">
        <v>-1560</v>
      </c>
      <c r="I646" s="257">
        <v>-1560</v>
      </c>
      <c r="J646" s="257" t="e">
        <f t="shared" ref="J646" si="539">J647+J650+J654+J656+J652</f>
        <v>#REF!</v>
      </c>
      <c r="K646" s="257" t="e">
        <f>L647+L650+L654+L656+L652</f>
        <v>#REF!</v>
      </c>
      <c r="L646" s="257" t="e">
        <f t="shared" ref="L646" si="540">L647+L650+L654+L656+L652</f>
        <v>#REF!</v>
      </c>
      <c r="M646" s="257" t="e">
        <f t="shared" ref="M646:N646" si="541">M647+M650+M654+M656+M652</f>
        <v>#REF!</v>
      </c>
      <c r="N646" s="257" t="e">
        <f t="shared" si="541"/>
        <v>#REF!</v>
      </c>
      <c r="O646" s="257" t="e">
        <f t="shared" ref="O646" si="542">O647+O650+O654+O656+O652</f>
        <v>#REF!</v>
      </c>
    </row>
    <row r="647" spans="1:15" ht="30" hidden="1" x14ac:dyDescent="0.2">
      <c r="A647" s="259" t="s">
        <v>376</v>
      </c>
      <c r="B647" s="249">
        <v>801</v>
      </c>
      <c r="C647" s="252" t="s">
        <v>194</v>
      </c>
      <c r="D647" s="252" t="s">
        <v>212</v>
      </c>
      <c r="E647" s="252" t="s">
        <v>177</v>
      </c>
      <c r="F647" s="252"/>
      <c r="G647" s="257">
        <v>0</v>
      </c>
      <c r="H647" s="257">
        <v>0</v>
      </c>
      <c r="I647" s="257">
        <v>0</v>
      </c>
      <c r="J647" s="257" t="e">
        <f t="shared" ref="J647" si="543">J649+J648</f>
        <v>#REF!</v>
      </c>
      <c r="K647" s="257" t="e">
        <f>L649+L648</f>
        <v>#REF!</v>
      </c>
      <c r="L647" s="257" t="e">
        <f t="shared" ref="L647" si="544">L649+L648</f>
        <v>#REF!</v>
      </c>
      <c r="M647" s="257" t="e">
        <f t="shared" ref="M647:N647" si="545">M649+M648</f>
        <v>#REF!</v>
      </c>
      <c r="N647" s="257" t="e">
        <f t="shared" si="545"/>
        <v>#REF!</v>
      </c>
      <c r="O647" s="257" t="e">
        <f t="shared" ref="O647" si="546">O649+O648</f>
        <v>#REF!</v>
      </c>
    </row>
    <row r="648" spans="1:15" hidden="1" x14ac:dyDescent="0.2">
      <c r="A648" s="259" t="s">
        <v>93</v>
      </c>
      <c r="B648" s="271">
        <v>801</v>
      </c>
      <c r="C648" s="252" t="s">
        <v>194</v>
      </c>
      <c r="D648" s="252" t="s">
        <v>212</v>
      </c>
      <c r="E648" s="252" t="s">
        <v>177</v>
      </c>
      <c r="F648" s="252" t="s">
        <v>94</v>
      </c>
      <c r="G648" s="257">
        <v>0</v>
      </c>
      <c r="H648" s="257">
        <v>0</v>
      </c>
      <c r="I648" s="257">
        <v>0</v>
      </c>
      <c r="J648" s="257" t="e">
        <f>#REF!+H648</f>
        <v>#REF!</v>
      </c>
      <c r="K648" s="257">
        <f t="shared" ref="K648:K649" si="547">G648+I648</f>
        <v>0</v>
      </c>
      <c r="L648" s="257" t="e">
        <f>I648+J648</f>
        <v>#REF!</v>
      </c>
      <c r="M648" s="257" t="e">
        <f>I648+L648</f>
        <v>#REF!</v>
      </c>
      <c r="N648" s="257" t="e">
        <f>J648+L648</f>
        <v>#REF!</v>
      </c>
      <c r="O648" s="257" t="e">
        <f>L648+M648</f>
        <v>#REF!</v>
      </c>
    </row>
    <row r="649" spans="1:15" ht="12.75" hidden="1" customHeight="1" x14ac:dyDescent="0.2">
      <c r="A649" s="259" t="s">
        <v>93</v>
      </c>
      <c r="B649" s="271">
        <v>801</v>
      </c>
      <c r="C649" s="252" t="s">
        <v>194</v>
      </c>
      <c r="D649" s="252" t="s">
        <v>212</v>
      </c>
      <c r="E649" s="252" t="s">
        <v>177</v>
      </c>
      <c r="F649" s="252" t="s">
        <v>64</v>
      </c>
      <c r="G649" s="257">
        <v>0</v>
      </c>
      <c r="H649" s="257">
        <v>0</v>
      </c>
      <c r="I649" s="257">
        <v>0</v>
      </c>
      <c r="J649" s="257" t="e">
        <f>#REF!+H649</f>
        <v>#REF!</v>
      </c>
      <c r="K649" s="257">
        <f t="shared" si="547"/>
        <v>0</v>
      </c>
      <c r="L649" s="257" t="e">
        <f>I649+J649</f>
        <v>#REF!</v>
      </c>
      <c r="M649" s="257" t="e">
        <f>I649+L649</f>
        <v>#REF!</v>
      </c>
      <c r="N649" s="257" t="e">
        <f>J649+L649</f>
        <v>#REF!</v>
      </c>
      <c r="O649" s="257" t="e">
        <f>L649+M649</f>
        <v>#REF!</v>
      </c>
    </row>
    <row r="650" spans="1:15" ht="38.25" hidden="1" customHeight="1" x14ac:dyDescent="0.2">
      <c r="A650" s="259" t="s">
        <v>377</v>
      </c>
      <c r="B650" s="271">
        <v>801</v>
      </c>
      <c r="C650" s="252" t="s">
        <v>194</v>
      </c>
      <c r="D650" s="252" t="s">
        <v>212</v>
      </c>
      <c r="E650" s="252" t="s">
        <v>133</v>
      </c>
      <c r="F650" s="252"/>
      <c r="G650" s="257">
        <v>0</v>
      </c>
      <c r="H650" s="257">
        <v>0</v>
      </c>
      <c r="I650" s="257">
        <v>0</v>
      </c>
      <c r="J650" s="257" t="e">
        <f t="shared" ref="J650:O650" si="548">J651</f>
        <v>#REF!</v>
      </c>
      <c r="K650" s="257" t="e">
        <f>L651</f>
        <v>#REF!</v>
      </c>
      <c r="L650" s="257" t="e">
        <f t="shared" si="548"/>
        <v>#REF!</v>
      </c>
      <c r="M650" s="257" t="e">
        <f t="shared" si="548"/>
        <v>#REF!</v>
      </c>
      <c r="N650" s="257" t="e">
        <f t="shared" si="548"/>
        <v>#REF!</v>
      </c>
      <c r="O650" s="257" t="e">
        <f t="shared" si="548"/>
        <v>#REF!</v>
      </c>
    </row>
    <row r="651" spans="1:15" ht="24.75" hidden="1" customHeight="1" x14ac:dyDescent="0.2">
      <c r="A651" s="259" t="s">
        <v>93</v>
      </c>
      <c r="B651" s="271">
        <v>801</v>
      </c>
      <c r="C651" s="252" t="s">
        <v>194</v>
      </c>
      <c r="D651" s="252" t="s">
        <v>212</v>
      </c>
      <c r="E651" s="252" t="s">
        <v>133</v>
      </c>
      <c r="F651" s="252" t="s">
        <v>94</v>
      </c>
      <c r="G651" s="257">
        <v>0</v>
      </c>
      <c r="H651" s="257">
        <v>0</v>
      </c>
      <c r="I651" s="257">
        <v>0</v>
      </c>
      <c r="J651" s="257" t="e">
        <f>#REF!+H651</f>
        <v>#REF!</v>
      </c>
      <c r="K651" s="257">
        <f t="shared" ref="K651" si="549">G651+I651</f>
        <v>0</v>
      </c>
      <c r="L651" s="257" t="e">
        <f>I651+J651</f>
        <v>#REF!</v>
      </c>
      <c r="M651" s="257" t="e">
        <f>I651+L651</f>
        <v>#REF!</v>
      </c>
      <c r="N651" s="257" t="e">
        <f>J651+L651</f>
        <v>#REF!</v>
      </c>
      <c r="O651" s="257" t="e">
        <f>L651+M651</f>
        <v>#REF!</v>
      </c>
    </row>
    <row r="652" spans="1:15" ht="16.5" hidden="1" customHeight="1" x14ac:dyDescent="0.2">
      <c r="A652" s="259" t="s">
        <v>1002</v>
      </c>
      <c r="B652" s="271">
        <v>801</v>
      </c>
      <c r="C652" s="252" t="s">
        <v>194</v>
      </c>
      <c r="D652" s="252" t="s">
        <v>212</v>
      </c>
      <c r="E652" s="252" t="s">
        <v>548</v>
      </c>
      <c r="F652" s="252"/>
      <c r="G652" s="257">
        <v>-800</v>
      </c>
      <c r="H652" s="257">
        <v>-1300</v>
      </c>
      <c r="I652" s="257">
        <v>-1300</v>
      </c>
      <c r="J652" s="257" t="e">
        <f t="shared" ref="J652:O652" si="550">J653</f>
        <v>#REF!</v>
      </c>
      <c r="K652" s="257" t="e">
        <f>L653</f>
        <v>#REF!</v>
      </c>
      <c r="L652" s="257" t="e">
        <f t="shared" si="550"/>
        <v>#REF!</v>
      </c>
      <c r="M652" s="257" t="e">
        <f t="shared" si="550"/>
        <v>#REF!</v>
      </c>
      <c r="N652" s="257" t="e">
        <f t="shared" si="550"/>
        <v>#REF!</v>
      </c>
      <c r="O652" s="257" t="e">
        <f t="shared" si="550"/>
        <v>#REF!</v>
      </c>
    </row>
    <row r="653" spans="1:15" ht="17.25" hidden="1" customHeight="1" x14ac:dyDescent="0.2">
      <c r="A653" s="259" t="s">
        <v>93</v>
      </c>
      <c r="B653" s="271">
        <v>801</v>
      </c>
      <c r="C653" s="252" t="s">
        <v>194</v>
      </c>
      <c r="D653" s="252" t="s">
        <v>212</v>
      </c>
      <c r="E653" s="252" t="s">
        <v>548</v>
      </c>
      <c r="F653" s="252" t="s">
        <v>94</v>
      </c>
      <c r="G653" s="257">
        <v>-800</v>
      </c>
      <c r="H653" s="257">
        <v>-1300</v>
      </c>
      <c r="I653" s="257">
        <v>-1300</v>
      </c>
      <c r="J653" s="257" t="e">
        <f>#REF!+H653</f>
        <v>#REF!</v>
      </c>
      <c r="K653" s="257">
        <f t="shared" ref="K653" si="551">G653+I653</f>
        <v>-2100</v>
      </c>
      <c r="L653" s="257" t="e">
        <f>I653+J653</f>
        <v>#REF!</v>
      </c>
      <c r="M653" s="257" t="e">
        <f>I653+L653</f>
        <v>#REF!</v>
      </c>
      <c r="N653" s="257" t="e">
        <f>J653+L653</f>
        <v>#REF!</v>
      </c>
      <c r="O653" s="257" t="e">
        <f>L653+M653</f>
        <v>#REF!</v>
      </c>
    </row>
    <row r="654" spans="1:15" ht="31.5" hidden="1" customHeight="1" x14ac:dyDescent="0.2">
      <c r="A654" s="259" t="s">
        <v>425</v>
      </c>
      <c r="B654" s="271">
        <v>801</v>
      </c>
      <c r="C654" s="252" t="s">
        <v>194</v>
      </c>
      <c r="D654" s="252" t="s">
        <v>212</v>
      </c>
      <c r="E654" s="252" t="s">
        <v>548</v>
      </c>
      <c r="F654" s="252"/>
      <c r="G654" s="257">
        <v>-80</v>
      </c>
      <c r="H654" s="257">
        <v>-130</v>
      </c>
      <c r="I654" s="257">
        <v>-130</v>
      </c>
      <c r="J654" s="257" t="e">
        <f t="shared" ref="J654" si="552">J656</f>
        <v>#REF!</v>
      </c>
      <c r="K654" s="257" t="e">
        <f>L656</f>
        <v>#REF!</v>
      </c>
      <c r="L654" s="257" t="e">
        <f t="shared" ref="L654" si="553">L656</f>
        <v>#REF!</v>
      </c>
      <c r="M654" s="257" t="e">
        <f t="shared" ref="M654:N654" si="554">M656</f>
        <v>#REF!</v>
      </c>
      <c r="N654" s="257" t="e">
        <f t="shared" si="554"/>
        <v>#REF!</v>
      </c>
      <c r="O654" s="257" t="e">
        <f t="shared" ref="O654" si="555">O656</f>
        <v>#REF!</v>
      </c>
    </row>
    <row r="655" spans="1:15" ht="18" hidden="1" customHeight="1" x14ac:dyDescent="0.2">
      <c r="A655" s="259" t="s">
        <v>93</v>
      </c>
      <c r="B655" s="271">
        <v>801</v>
      </c>
      <c r="C655" s="252" t="s">
        <v>194</v>
      </c>
      <c r="D655" s="252" t="s">
        <v>212</v>
      </c>
      <c r="E655" s="252" t="s">
        <v>548</v>
      </c>
      <c r="F655" s="252" t="s">
        <v>94</v>
      </c>
      <c r="G655" s="257">
        <v>-80</v>
      </c>
      <c r="H655" s="257">
        <v>-130</v>
      </c>
      <c r="I655" s="257">
        <v>-130</v>
      </c>
      <c r="J655" s="257" t="e">
        <f>#REF!+H655</f>
        <v>#REF!</v>
      </c>
      <c r="K655" s="257">
        <f t="shared" ref="K655" si="556">G655+I655</f>
        <v>-210</v>
      </c>
      <c r="L655" s="257" t="e">
        <f>I655+J655</f>
        <v>#REF!</v>
      </c>
      <c r="M655" s="257" t="e">
        <f>I655+L655</f>
        <v>#REF!</v>
      </c>
      <c r="N655" s="257" t="e">
        <f>J655+L655</f>
        <v>#REF!</v>
      </c>
      <c r="O655" s="257" t="e">
        <f>L655+M655</f>
        <v>#REF!</v>
      </c>
    </row>
    <row r="656" spans="1:15" ht="27.75" hidden="1" customHeight="1" x14ac:dyDescent="0.2">
      <c r="A656" s="259" t="s">
        <v>739</v>
      </c>
      <c r="B656" s="271">
        <v>801</v>
      </c>
      <c r="C656" s="252" t="s">
        <v>194</v>
      </c>
      <c r="D656" s="252" t="s">
        <v>212</v>
      </c>
      <c r="E656" s="252" t="s">
        <v>433</v>
      </c>
      <c r="F656" s="252"/>
      <c r="G656" s="257">
        <v>-80</v>
      </c>
      <c r="H656" s="257">
        <v>-130</v>
      </c>
      <c r="I656" s="257">
        <v>-130</v>
      </c>
      <c r="J656" s="257" t="e">
        <f t="shared" ref="J656:O656" si="557">J657</f>
        <v>#REF!</v>
      </c>
      <c r="K656" s="257" t="e">
        <f>L657</f>
        <v>#REF!</v>
      </c>
      <c r="L656" s="257" t="e">
        <f t="shared" si="557"/>
        <v>#REF!</v>
      </c>
      <c r="M656" s="257" t="e">
        <f t="shared" si="557"/>
        <v>#REF!</v>
      </c>
      <c r="N656" s="257" t="e">
        <f t="shared" si="557"/>
        <v>#REF!</v>
      </c>
      <c r="O656" s="257" t="e">
        <f t="shared" si="557"/>
        <v>#REF!</v>
      </c>
    </row>
    <row r="657" spans="1:15" ht="18.75" hidden="1" customHeight="1" x14ac:dyDescent="0.2">
      <c r="A657" s="259" t="s">
        <v>93</v>
      </c>
      <c r="B657" s="271">
        <v>801</v>
      </c>
      <c r="C657" s="252" t="s">
        <v>194</v>
      </c>
      <c r="D657" s="252" t="s">
        <v>212</v>
      </c>
      <c r="E657" s="252" t="s">
        <v>433</v>
      </c>
      <c r="F657" s="252" t="s">
        <v>94</v>
      </c>
      <c r="G657" s="257">
        <v>-80</v>
      </c>
      <c r="H657" s="257">
        <v>-130</v>
      </c>
      <c r="I657" s="257">
        <v>-130</v>
      </c>
      <c r="J657" s="257" t="e">
        <f>#REF!+H657</f>
        <v>#REF!</v>
      </c>
      <c r="K657" s="257">
        <f t="shared" ref="K657" si="558">G657+I657</f>
        <v>-210</v>
      </c>
      <c r="L657" s="257" t="e">
        <f>I657+J657</f>
        <v>#REF!</v>
      </c>
      <c r="M657" s="257" t="e">
        <f>I657+L657</f>
        <v>#REF!</v>
      </c>
      <c r="N657" s="257" t="e">
        <f>J657+L657</f>
        <v>#REF!</v>
      </c>
      <c r="O657" s="257" t="e">
        <f>L657+M657</f>
        <v>#REF!</v>
      </c>
    </row>
    <row r="658" spans="1:15" ht="18.75" hidden="1" customHeight="1" x14ac:dyDescent="0.2">
      <c r="A658" s="259" t="s">
        <v>466</v>
      </c>
      <c r="B658" s="271">
        <v>801</v>
      </c>
      <c r="C658" s="252" t="s">
        <v>194</v>
      </c>
      <c r="D658" s="252" t="s">
        <v>212</v>
      </c>
      <c r="E658" s="252" t="s">
        <v>804</v>
      </c>
      <c r="F658" s="252"/>
      <c r="G658" s="257" t="e">
        <v>#REF!</v>
      </c>
      <c r="H658" s="257" t="e">
        <v>#REF!</v>
      </c>
      <c r="I658" s="257" t="e">
        <v>#REF!</v>
      </c>
      <c r="J658" s="257" t="e">
        <f t="shared" ref="J658:O658" si="559">J659</f>
        <v>#REF!</v>
      </c>
      <c r="K658" s="257" t="e">
        <f>L659</f>
        <v>#REF!</v>
      </c>
      <c r="L658" s="257" t="e">
        <f t="shared" si="559"/>
        <v>#REF!</v>
      </c>
      <c r="M658" s="257" t="e">
        <f t="shared" si="559"/>
        <v>#REF!</v>
      </c>
      <c r="N658" s="257" t="e">
        <f t="shared" si="559"/>
        <v>#REF!</v>
      </c>
      <c r="O658" s="257" t="e">
        <f t="shared" si="559"/>
        <v>#REF!</v>
      </c>
    </row>
    <row r="659" spans="1:15" ht="18.75" hidden="1" customHeight="1" x14ac:dyDescent="0.2">
      <c r="A659" s="259" t="s">
        <v>318</v>
      </c>
      <c r="B659" s="271" t="s">
        <v>146</v>
      </c>
      <c r="C659" s="252" t="s">
        <v>194</v>
      </c>
      <c r="D659" s="252" t="s">
        <v>212</v>
      </c>
      <c r="E659" s="252" t="s">
        <v>804</v>
      </c>
      <c r="F659" s="252" t="s">
        <v>319</v>
      </c>
      <c r="G659" s="257" t="e">
        <v>#REF!</v>
      </c>
      <c r="H659" s="257" t="e">
        <v>#REF!</v>
      </c>
      <c r="I659" s="257" t="e">
        <v>#REF!</v>
      </c>
      <c r="J659" s="257" t="e">
        <f>#REF!+H659</f>
        <v>#REF!</v>
      </c>
      <c r="K659" s="257" t="e">
        <f>#REF!+I659</f>
        <v>#REF!</v>
      </c>
      <c r="L659" s="257" t="e">
        <f>#REF!+J659</f>
        <v>#REF!</v>
      </c>
      <c r="M659" s="257" t="e">
        <f>#REF!+L659</f>
        <v>#REF!</v>
      </c>
      <c r="N659" s="257" t="e">
        <f>#REF!+L659</f>
        <v>#REF!</v>
      </c>
      <c r="O659" s="257" t="e">
        <f>#REF!+M659</f>
        <v>#REF!</v>
      </c>
    </row>
    <row r="660" spans="1:15" ht="35.25" customHeight="1" x14ac:dyDescent="0.2">
      <c r="A660" s="259" t="s">
        <v>981</v>
      </c>
      <c r="B660" s="271">
        <v>801</v>
      </c>
      <c r="C660" s="252" t="s">
        <v>194</v>
      </c>
      <c r="D660" s="252" t="s">
        <v>212</v>
      </c>
      <c r="E660" s="252" t="s">
        <v>803</v>
      </c>
      <c r="F660" s="252"/>
      <c r="G660" s="257">
        <v>70</v>
      </c>
      <c r="H660" s="257">
        <v>0</v>
      </c>
      <c r="I660" s="257">
        <v>20</v>
      </c>
      <c r="J660" s="257">
        <f t="shared" ref="J660" si="560">J661+J662+J663</f>
        <v>50</v>
      </c>
      <c r="K660" s="257">
        <f>L661+L662+L663</f>
        <v>70</v>
      </c>
      <c r="L660" s="257">
        <f t="shared" ref="L660" si="561">L661+L662+L663</f>
        <v>70</v>
      </c>
      <c r="M660" s="257">
        <f t="shared" ref="M660:N660" si="562">M661+M662+M663</f>
        <v>-70</v>
      </c>
      <c r="N660" s="257">
        <f t="shared" si="562"/>
        <v>0</v>
      </c>
      <c r="O660" s="257">
        <f t="shared" ref="O660" si="563">O661+O662+O663</f>
        <v>0</v>
      </c>
    </row>
    <row r="661" spans="1:15" ht="39.75" customHeight="1" x14ac:dyDescent="0.2">
      <c r="A661" s="259" t="s">
        <v>513</v>
      </c>
      <c r="B661" s="271">
        <v>801</v>
      </c>
      <c r="C661" s="252" t="s">
        <v>194</v>
      </c>
      <c r="D661" s="252" t="s">
        <v>212</v>
      </c>
      <c r="E661" s="252" t="s">
        <v>802</v>
      </c>
      <c r="F661" s="252" t="s">
        <v>94</v>
      </c>
      <c r="G661" s="257">
        <v>10</v>
      </c>
      <c r="H661" s="257">
        <v>0</v>
      </c>
      <c r="I661" s="257">
        <v>10</v>
      </c>
      <c r="J661" s="257">
        <v>0</v>
      </c>
      <c r="K661" s="257">
        <f t="shared" ref="K661:L664" si="564">I661+J661</f>
        <v>10</v>
      </c>
      <c r="L661" s="257">
        <v>10</v>
      </c>
      <c r="M661" s="257">
        <v>-10</v>
      </c>
      <c r="N661" s="257">
        <f>L661+M661</f>
        <v>0</v>
      </c>
      <c r="O661" s="257">
        <v>0</v>
      </c>
    </row>
    <row r="662" spans="1:15" ht="32.25" customHeight="1" x14ac:dyDescent="0.2">
      <c r="A662" s="259" t="s">
        <v>737</v>
      </c>
      <c r="B662" s="271">
        <v>801</v>
      </c>
      <c r="C662" s="252" t="s">
        <v>194</v>
      </c>
      <c r="D662" s="252" t="s">
        <v>212</v>
      </c>
      <c r="E662" s="252" t="s">
        <v>801</v>
      </c>
      <c r="F662" s="252" t="s">
        <v>94</v>
      </c>
      <c r="G662" s="257">
        <v>10</v>
      </c>
      <c r="H662" s="257">
        <v>0</v>
      </c>
      <c r="I662" s="257">
        <v>10</v>
      </c>
      <c r="J662" s="257">
        <v>0</v>
      </c>
      <c r="K662" s="257">
        <f t="shared" si="564"/>
        <v>10</v>
      </c>
      <c r="L662" s="257">
        <v>10</v>
      </c>
      <c r="M662" s="257">
        <v>-10</v>
      </c>
      <c r="N662" s="257">
        <f>L662+M662</f>
        <v>0</v>
      </c>
      <c r="O662" s="257">
        <v>0</v>
      </c>
    </row>
    <row r="663" spans="1:15" ht="18.75" customHeight="1" x14ac:dyDescent="0.2">
      <c r="A663" s="259" t="s">
        <v>514</v>
      </c>
      <c r="B663" s="271">
        <v>801</v>
      </c>
      <c r="C663" s="252" t="s">
        <v>194</v>
      </c>
      <c r="D663" s="252" t="s">
        <v>212</v>
      </c>
      <c r="E663" s="252" t="s">
        <v>800</v>
      </c>
      <c r="F663" s="252" t="s">
        <v>94</v>
      </c>
      <c r="G663" s="257">
        <v>50</v>
      </c>
      <c r="H663" s="257">
        <v>0</v>
      </c>
      <c r="I663" s="257">
        <v>0</v>
      </c>
      <c r="J663" s="257">
        <v>50</v>
      </c>
      <c r="K663" s="257">
        <f t="shared" si="564"/>
        <v>50</v>
      </c>
      <c r="L663" s="257">
        <v>50</v>
      </c>
      <c r="M663" s="257">
        <v>-50</v>
      </c>
      <c r="N663" s="257">
        <f>L663+M663</f>
        <v>0</v>
      </c>
      <c r="O663" s="257">
        <v>0</v>
      </c>
    </row>
    <row r="664" spans="1:15" ht="27" hidden="1" customHeight="1" x14ac:dyDescent="0.2">
      <c r="A664" s="259" t="s">
        <v>466</v>
      </c>
      <c r="B664" s="271">
        <v>801</v>
      </c>
      <c r="C664" s="252" t="s">
        <v>194</v>
      </c>
      <c r="D664" s="252" t="s">
        <v>212</v>
      </c>
      <c r="E664" s="252" t="s">
        <v>874</v>
      </c>
      <c r="F664" s="252" t="s">
        <v>94</v>
      </c>
      <c r="G664" s="257">
        <v>0</v>
      </c>
      <c r="H664" s="257">
        <v>0</v>
      </c>
      <c r="I664" s="257">
        <v>0</v>
      </c>
      <c r="J664" s="257">
        <f t="shared" ref="J664" si="565">H664+I664</f>
        <v>0</v>
      </c>
      <c r="K664" s="257">
        <f t="shared" si="564"/>
        <v>0</v>
      </c>
      <c r="L664" s="257">
        <f t="shared" si="564"/>
        <v>0</v>
      </c>
      <c r="M664" s="257">
        <f>L664+L664</f>
        <v>0</v>
      </c>
      <c r="N664" s="257">
        <f>L664+M664</f>
        <v>0</v>
      </c>
      <c r="O664" s="257">
        <f t="shared" ref="O664" si="566">M664+N664</f>
        <v>0</v>
      </c>
    </row>
    <row r="665" spans="1:15" ht="30" hidden="1" customHeight="1" x14ac:dyDescent="0.2">
      <c r="A665" s="259" t="s">
        <v>466</v>
      </c>
      <c r="B665" s="271">
        <v>801</v>
      </c>
      <c r="C665" s="252" t="s">
        <v>194</v>
      </c>
      <c r="D665" s="252" t="s">
        <v>212</v>
      </c>
      <c r="E665" s="252" t="s">
        <v>874</v>
      </c>
      <c r="F665" s="252"/>
      <c r="G665" s="257">
        <v>0</v>
      </c>
      <c r="H665" s="257">
        <v>0</v>
      </c>
      <c r="I665" s="257">
        <v>0</v>
      </c>
      <c r="J665" s="257">
        <f t="shared" ref="J665:O665" si="567">J666</f>
        <v>0</v>
      </c>
      <c r="K665" s="257">
        <f>L666</f>
        <v>0</v>
      </c>
      <c r="L665" s="257">
        <f t="shared" si="567"/>
        <v>0</v>
      </c>
      <c r="M665" s="257">
        <f t="shared" si="567"/>
        <v>0</v>
      </c>
      <c r="N665" s="257">
        <f t="shared" si="567"/>
        <v>0</v>
      </c>
      <c r="O665" s="257">
        <f t="shared" si="567"/>
        <v>0</v>
      </c>
    </row>
    <row r="666" spans="1:15" ht="18.75" hidden="1" customHeight="1" x14ac:dyDescent="0.2">
      <c r="A666" s="259" t="s">
        <v>318</v>
      </c>
      <c r="B666" s="271" t="s">
        <v>146</v>
      </c>
      <c r="C666" s="252" t="s">
        <v>194</v>
      </c>
      <c r="D666" s="252" t="s">
        <v>212</v>
      </c>
      <c r="E666" s="252" t="s">
        <v>874</v>
      </c>
      <c r="F666" s="252" t="s">
        <v>319</v>
      </c>
      <c r="G666" s="257">
        <v>0</v>
      </c>
      <c r="H666" s="257">
        <v>0</v>
      </c>
      <c r="I666" s="257">
        <v>0</v>
      </c>
      <c r="J666" s="257">
        <f t="shared" ref="J666:L669" si="568">H666+I666</f>
        <v>0</v>
      </c>
      <c r="K666" s="257">
        <f t="shared" si="568"/>
        <v>0</v>
      </c>
      <c r="L666" s="257">
        <f t="shared" si="568"/>
        <v>0</v>
      </c>
      <c r="M666" s="257">
        <f>L666+L666</f>
        <v>0</v>
      </c>
      <c r="N666" s="257">
        <f>L666+M666</f>
        <v>0</v>
      </c>
      <c r="O666" s="257">
        <f t="shared" ref="O666:O669" si="569">M666+N666</f>
        <v>0</v>
      </c>
    </row>
    <row r="667" spans="1:15" ht="18.75" hidden="1" customHeight="1" x14ac:dyDescent="0.2">
      <c r="A667" s="259" t="s">
        <v>352</v>
      </c>
      <c r="B667" s="271">
        <v>801</v>
      </c>
      <c r="C667" s="252" t="s">
        <v>194</v>
      </c>
      <c r="D667" s="252" t="s">
        <v>212</v>
      </c>
      <c r="E667" s="252" t="s">
        <v>875</v>
      </c>
      <c r="F667" s="252"/>
      <c r="G667" s="257">
        <v>0</v>
      </c>
      <c r="H667" s="257">
        <v>0</v>
      </c>
      <c r="I667" s="257">
        <v>0</v>
      </c>
      <c r="J667" s="257">
        <f t="shared" si="568"/>
        <v>0</v>
      </c>
      <c r="K667" s="257">
        <f t="shared" si="568"/>
        <v>0</v>
      </c>
      <c r="L667" s="257">
        <f t="shared" si="568"/>
        <v>0</v>
      </c>
      <c r="M667" s="257">
        <f>L667+L667</f>
        <v>0</v>
      </c>
      <c r="N667" s="257">
        <f>L667+M667</f>
        <v>0</v>
      </c>
      <c r="O667" s="257">
        <f t="shared" si="569"/>
        <v>0</v>
      </c>
    </row>
    <row r="668" spans="1:15" ht="18.75" hidden="1" customHeight="1" x14ac:dyDescent="0.2">
      <c r="A668" s="259" t="s">
        <v>921</v>
      </c>
      <c r="B668" s="271">
        <v>801</v>
      </c>
      <c r="C668" s="252" t="s">
        <v>194</v>
      </c>
      <c r="D668" s="252" t="s">
        <v>212</v>
      </c>
      <c r="E668" s="252" t="s">
        <v>875</v>
      </c>
      <c r="F668" s="252" t="s">
        <v>102</v>
      </c>
      <c r="G668" s="257">
        <v>0</v>
      </c>
      <c r="H668" s="257">
        <v>0</v>
      </c>
      <c r="I668" s="257">
        <v>0</v>
      </c>
      <c r="J668" s="257">
        <f t="shared" si="568"/>
        <v>0</v>
      </c>
      <c r="K668" s="257">
        <f t="shared" si="568"/>
        <v>0</v>
      </c>
      <c r="L668" s="257">
        <f t="shared" si="568"/>
        <v>0</v>
      </c>
      <c r="M668" s="257">
        <f>L668+L668</f>
        <v>0</v>
      </c>
      <c r="N668" s="257">
        <f>L668+M668</f>
        <v>0</v>
      </c>
      <c r="O668" s="257">
        <f t="shared" si="569"/>
        <v>0</v>
      </c>
    </row>
    <row r="669" spans="1:15" ht="18.75" hidden="1" customHeight="1" x14ac:dyDescent="0.2">
      <c r="A669" s="259" t="s">
        <v>93</v>
      </c>
      <c r="B669" s="271" t="s">
        <v>146</v>
      </c>
      <c r="C669" s="252" t="s">
        <v>194</v>
      </c>
      <c r="D669" s="252" t="s">
        <v>212</v>
      </c>
      <c r="E669" s="252" t="s">
        <v>875</v>
      </c>
      <c r="F669" s="252" t="s">
        <v>94</v>
      </c>
      <c r="G669" s="257">
        <v>0</v>
      </c>
      <c r="H669" s="257">
        <v>0</v>
      </c>
      <c r="I669" s="257">
        <v>0</v>
      </c>
      <c r="J669" s="257">
        <f t="shared" si="568"/>
        <v>0</v>
      </c>
      <c r="K669" s="257">
        <f t="shared" si="568"/>
        <v>0</v>
      </c>
      <c r="L669" s="257">
        <f t="shared" si="568"/>
        <v>0</v>
      </c>
      <c r="M669" s="257">
        <f>L669+L669</f>
        <v>0</v>
      </c>
      <c r="N669" s="257">
        <f>L669+M669</f>
        <v>0</v>
      </c>
      <c r="O669" s="257">
        <f t="shared" si="569"/>
        <v>0</v>
      </c>
    </row>
    <row r="670" spans="1:15" s="430" customFormat="1" ht="23.25" customHeight="1" x14ac:dyDescent="0.2">
      <c r="A670" s="462" t="s">
        <v>1095</v>
      </c>
      <c r="B670" s="249" t="s">
        <v>146</v>
      </c>
      <c r="C670" s="250" t="s">
        <v>194</v>
      </c>
      <c r="D670" s="250" t="s">
        <v>212</v>
      </c>
      <c r="E670" s="250" t="s">
        <v>1097</v>
      </c>
      <c r="F670" s="250"/>
      <c r="G670" s="275">
        <v>6682.2</v>
      </c>
      <c r="H670" s="275">
        <v>-343.2</v>
      </c>
      <c r="I670" s="275">
        <v>5563.7</v>
      </c>
      <c r="J670" s="275">
        <f t="shared" ref="J670" si="570">J671+J672+J673+J674+J675+J676+J677+J678+J679</f>
        <v>554.79999999999995</v>
      </c>
      <c r="K670" s="275">
        <f>L671+L672+L673+L674+L675+L676+L677+L678+L679</f>
        <v>5961</v>
      </c>
      <c r="L670" s="275">
        <f>L671+L672+L673+L674+L675+L676+L677+L678+L679</f>
        <v>5961</v>
      </c>
      <c r="M670" s="275">
        <f t="shared" ref="M670:N670" si="571">M671+M672+M673+M674+M675+M676+M677+M678+M679</f>
        <v>-5961</v>
      </c>
      <c r="N670" s="275">
        <f t="shared" si="571"/>
        <v>0</v>
      </c>
      <c r="O670" s="275">
        <f>O671+O672+O673+O674+O675+O676+O677+O678+O679</f>
        <v>0</v>
      </c>
    </row>
    <row r="671" spans="1:15" ht="23.25" customHeight="1" x14ac:dyDescent="0.2">
      <c r="A671" s="259" t="s">
        <v>897</v>
      </c>
      <c r="B671" s="271" t="s">
        <v>146</v>
      </c>
      <c r="C671" s="252" t="s">
        <v>194</v>
      </c>
      <c r="D671" s="252" t="s">
        <v>212</v>
      </c>
      <c r="E671" s="252" t="s">
        <v>1097</v>
      </c>
      <c r="F671" s="252" t="s">
        <v>832</v>
      </c>
      <c r="G671" s="257">
        <v>3895.2</v>
      </c>
      <c r="H671" s="257">
        <v>-128.19999999999999</v>
      </c>
      <c r="I671" s="257">
        <v>3895.2</v>
      </c>
      <c r="J671" s="257">
        <v>287.8</v>
      </c>
      <c r="K671" s="257">
        <f t="shared" ref="K671:L678" si="572">I671+J671</f>
        <v>4183</v>
      </c>
      <c r="L671" s="257">
        <v>4183</v>
      </c>
      <c r="M671" s="257">
        <v>-4183</v>
      </c>
      <c r="N671" s="257">
        <f t="shared" ref="N671:N678" si="573">L671+M671</f>
        <v>0</v>
      </c>
      <c r="O671" s="257">
        <v>0</v>
      </c>
    </row>
    <row r="672" spans="1:15" ht="34.5" customHeight="1" x14ac:dyDescent="0.2">
      <c r="A672" s="375" t="s">
        <v>900</v>
      </c>
      <c r="B672" s="271" t="s">
        <v>146</v>
      </c>
      <c r="C672" s="252" t="s">
        <v>194</v>
      </c>
      <c r="D672" s="252" t="s">
        <v>212</v>
      </c>
      <c r="E672" s="252" t="s">
        <v>1097</v>
      </c>
      <c r="F672" s="252" t="s">
        <v>899</v>
      </c>
      <c r="G672" s="257">
        <v>1177</v>
      </c>
      <c r="H672" s="257">
        <v>-39</v>
      </c>
      <c r="I672" s="257">
        <v>1177</v>
      </c>
      <c r="J672" s="257">
        <v>267</v>
      </c>
      <c r="K672" s="257">
        <f t="shared" si="572"/>
        <v>1444</v>
      </c>
      <c r="L672" s="257">
        <v>1444</v>
      </c>
      <c r="M672" s="257">
        <v>-1444</v>
      </c>
      <c r="N672" s="257">
        <f t="shared" si="573"/>
        <v>0</v>
      </c>
      <c r="O672" s="257">
        <v>0</v>
      </c>
    </row>
    <row r="673" spans="1:15" ht="18.75" hidden="1" customHeight="1" x14ac:dyDescent="0.2">
      <c r="A673" s="259" t="s">
        <v>897</v>
      </c>
      <c r="B673" s="271" t="s">
        <v>146</v>
      </c>
      <c r="C673" s="252" t="s">
        <v>194</v>
      </c>
      <c r="D673" s="252" t="s">
        <v>212</v>
      </c>
      <c r="E673" s="252" t="s">
        <v>1133</v>
      </c>
      <c r="F673" s="252" t="s">
        <v>832</v>
      </c>
      <c r="G673" s="257">
        <v>730</v>
      </c>
      <c r="H673" s="257">
        <v>0</v>
      </c>
      <c r="I673" s="257">
        <v>0</v>
      </c>
      <c r="J673" s="257">
        <v>0</v>
      </c>
      <c r="K673" s="257">
        <f t="shared" si="572"/>
        <v>0</v>
      </c>
      <c r="L673" s="257">
        <v>0</v>
      </c>
      <c r="M673" s="257">
        <v>0</v>
      </c>
      <c r="N673" s="257">
        <f t="shared" si="573"/>
        <v>0</v>
      </c>
      <c r="O673" s="257">
        <v>0</v>
      </c>
    </row>
    <row r="674" spans="1:15" ht="34.5" hidden="1" customHeight="1" x14ac:dyDescent="0.2">
      <c r="A674" s="375" t="s">
        <v>900</v>
      </c>
      <c r="B674" s="271" t="s">
        <v>146</v>
      </c>
      <c r="C674" s="252" t="s">
        <v>194</v>
      </c>
      <c r="D674" s="252" t="s">
        <v>212</v>
      </c>
      <c r="E674" s="252" t="s">
        <v>1133</v>
      </c>
      <c r="F674" s="252" t="s">
        <v>899</v>
      </c>
      <c r="G674" s="257">
        <v>220</v>
      </c>
      <c r="H674" s="257">
        <v>0</v>
      </c>
      <c r="I674" s="257">
        <v>0</v>
      </c>
      <c r="J674" s="257">
        <v>0</v>
      </c>
      <c r="K674" s="257">
        <f t="shared" si="572"/>
        <v>0</v>
      </c>
      <c r="L674" s="257">
        <v>0</v>
      </c>
      <c r="M674" s="257">
        <v>0</v>
      </c>
      <c r="N674" s="257">
        <f t="shared" si="573"/>
        <v>0</v>
      </c>
      <c r="O674" s="257">
        <v>0</v>
      </c>
    </row>
    <row r="675" spans="1:15" ht="18.75" customHeight="1" x14ac:dyDescent="0.2">
      <c r="A675" s="259" t="s">
        <v>952</v>
      </c>
      <c r="B675" s="271" t="s">
        <v>146</v>
      </c>
      <c r="C675" s="252" t="s">
        <v>194</v>
      </c>
      <c r="D675" s="252" t="s">
        <v>212</v>
      </c>
      <c r="E675" s="252" t="s">
        <v>1097</v>
      </c>
      <c r="F675" s="252" t="s">
        <v>919</v>
      </c>
      <c r="G675" s="257">
        <v>18</v>
      </c>
      <c r="H675" s="257">
        <v>0</v>
      </c>
      <c r="I675" s="257">
        <v>18</v>
      </c>
      <c r="J675" s="257">
        <v>0</v>
      </c>
      <c r="K675" s="257">
        <f t="shared" si="572"/>
        <v>18</v>
      </c>
      <c r="L675" s="257">
        <v>18</v>
      </c>
      <c r="M675" s="257">
        <v>-18</v>
      </c>
      <c r="N675" s="257">
        <f t="shared" si="573"/>
        <v>0</v>
      </c>
      <c r="O675" s="257">
        <v>0</v>
      </c>
    </row>
    <row r="676" spans="1:15" ht="18.75" hidden="1" customHeight="1" x14ac:dyDescent="0.2">
      <c r="A676" s="259" t="s">
        <v>99</v>
      </c>
      <c r="B676" s="271" t="s">
        <v>146</v>
      </c>
      <c r="C676" s="252" t="s">
        <v>194</v>
      </c>
      <c r="D676" s="252" t="s">
        <v>212</v>
      </c>
      <c r="E676" s="252" t="s">
        <v>1097</v>
      </c>
      <c r="F676" s="252" t="s">
        <v>100</v>
      </c>
      <c r="G676" s="257">
        <v>105</v>
      </c>
      <c r="H676" s="257">
        <v>20</v>
      </c>
      <c r="I676" s="257">
        <v>105</v>
      </c>
      <c r="J676" s="257">
        <v>-105</v>
      </c>
      <c r="K676" s="257">
        <f t="shared" si="572"/>
        <v>0</v>
      </c>
      <c r="L676" s="257">
        <v>0</v>
      </c>
      <c r="M676" s="257">
        <v>0</v>
      </c>
      <c r="N676" s="257">
        <f t="shared" si="573"/>
        <v>0</v>
      </c>
      <c r="O676" s="257">
        <v>0</v>
      </c>
    </row>
    <row r="677" spans="1:15" ht="18.75" customHeight="1" x14ac:dyDescent="0.2">
      <c r="A677" s="259" t="s">
        <v>93</v>
      </c>
      <c r="B677" s="271" t="s">
        <v>146</v>
      </c>
      <c r="C677" s="252" t="s">
        <v>194</v>
      </c>
      <c r="D677" s="252" t="s">
        <v>212</v>
      </c>
      <c r="E677" s="252" t="s">
        <v>1097</v>
      </c>
      <c r="F677" s="252" t="s">
        <v>94</v>
      </c>
      <c r="G677" s="257">
        <v>191</v>
      </c>
      <c r="H677" s="257">
        <v>0</v>
      </c>
      <c r="I677" s="257">
        <v>191</v>
      </c>
      <c r="J677" s="257">
        <v>105</v>
      </c>
      <c r="K677" s="257">
        <f t="shared" si="572"/>
        <v>296</v>
      </c>
      <c r="L677" s="257">
        <v>296</v>
      </c>
      <c r="M677" s="257">
        <v>-296</v>
      </c>
      <c r="N677" s="257">
        <f t="shared" si="573"/>
        <v>0</v>
      </c>
      <c r="O677" s="257">
        <v>0</v>
      </c>
    </row>
    <row r="678" spans="1:15" ht="18.75" hidden="1" customHeight="1" x14ac:dyDescent="0.2">
      <c r="A678" s="259" t="s">
        <v>103</v>
      </c>
      <c r="B678" s="271" t="s">
        <v>146</v>
      </c>
      <c r="C678" s="252" t="s">
        <v>194</v>
      </c>
      <c r="D678" s="252" t="s">
        <v>212</v>
      </c>
      <c r="E678" s="252" t="s">
        <v>1097</v>
      </c>
      <c r="F678" s="252" t="s">
        <v>104</v>
      </c>
      <c r="G678" s="257">
        <v>0</v>
      </c>
      <c r="H678" s="257">
        <v>0</v>
      </c>
      <c r="I678" s="257">
        <v>0</v>
      </c>
      <c r="J678" s="257">
        <v>0</v>
      </c>
      <c r="K678" s="257">
        <f t="shared" si="572"/>
        <v>0</v>
      </c>
      <c r="L678" s="257">
        <f t="shared" si="572"/>
        <v>0</v>
      </c>
      <c r="M678" s="257">
        <v>0</v>
      </c>
      <c r="N678" s="257">
        <f t="shared" si="573"/>
        <v>0</v>
      </c>
      <c r="O678" s="257">
        <f t="shared" ref="O678" si="574">M678+N678</f>
        <v>0</v>
      </c>
    </row>
    <row r="679" spans="1:15" ht="33.75" customHeight="1" x14ac:dyDescent="0.2">
      <c r="A679" s="259" t="s">
        <v>1096</v>
      </c>
      <c r="B679" s="271" t="s">
        <v>146</v>
      </c>
      <c r="C679" s="252" t="s">
        <v>194</v>
      </c>
      <c r="D679" s="252" t="s">
        <v>212</v>
      </c>
      <c r="E679" s="252" t="s">
        <v>1132</v>
      </c>
      <c r="F679" s="252"/>
      <c r="G679" s="257">
        <v>346</v>
      </c>
      <c r="H679" s="257">
        <v>-196</v>
      </c>
      <c r="I679" s="257">
        <v>177.5</v>
      </c>
      <c r="J679" s="257">
        <f>J680+J681</f>
        <v>0</v>
      </c>
      <c r="K679" s="257">
        <f>L680+L681</f>
        <v>20</v>
      </c>
      <c r="L679" s="257">
        <f>L680+L681</f>
        <v>20</v>
      </c>
      <c r="M679" s="257">
        <f>M680+M681</f>
        <v>-20</v>
      </c>
      <c r="N679" s="257">
        <f>N680+N681</f>
        <v>0</v>
      </c>
      <c r="O679" s="257">
        <f>O680+O681</f>
        <v>0</v>
      </c>
    </row>
    <row r="680" spans="1:15" ht="20.25" hidden="1" customHeight="1" x14ac:dyDescent="0.2">
      <c r="A680" s="259" t="s">
        <v>99</v>
      </c>
      <c r="B680" s="271" t="s">
        <v>146</v>
      </c>
      <c r="C680" s="252" t="s">
        <v>194</v>
      </c>
      <c r="D680" s="252" t="s">
        <v>212</v>
      </c>
      <c r="E680" s="252" t="s">
        <v>1132</v>
      </c>
      <c r="F680" s="252" t="s">
        <v>100</v>
      </c>
      <c r="G680" s="257">
        <v>0</v>
      </c>
      <c r="H680" s="257">
        <v>0</v>
      </c>
      <c r="I680" s="257">
        <v>0</v>
      </c>
      <c r="J680" s="257">
        <v>0</v>
      </c>
      <c r="K680" s="257">
        <f>I680+J680</f>
        <v>0</v>
      </c>
      <c r="L680" s="257">
        <f>J680+K680</f>
        <v>0</v>
      </c>
      <c r="M680" s="257">
        <v>0</v>
      </c>
      <c r="N680" s="257">
        <f>L680+M680</f>
        <v>0</v>
      </c>
      <c r="O680" s="257">
        <f>M680+N680</f>
        <v>0</v>
      </c>
    </row>
    <row r="681" spans="1:15" ht="18.75" customHeight="1" x14ac:dyDescent="0.2">
      <c r="A681" s="259" t="s">
        <v>93</v>
      </c>
      <c r="B681" s="271" t="s">
        <v>146</v>
      </c>
      <c r="C681" s="252" t="s">
        <v>194</v>
      </c>
      <c r="D681" s="252" t="s">
        <v>212</v>
      </c>
      <c r="E681" s="252" t="s">
        <v>1132</v>
      </c>
      <c r="F681" s="252" t="s">
        <v>94</v>
      </c>
      <c r="G681" s="257">
        <v>346</v>
      </c>
      <c r="H681" s="257">
        <v>-196</v>
      </c>
      <c r="I681" s="257">
        <v>177.5</v>
      </c>
      <c r="J681" s="257">
        <v>0</v>
      </c>
      <c r="K681" s="257">
        <f>I681+J681</f>
        <v>177.5</v>
      </c>
      <c r="L681" s="257">
        <v>20</v>
      </c>
      <c r="M681" s="257">
        <v>-20</v>
      </c>
      <c r="N681" s="257">
        <f>L681+M681</f>
        <v>0</v>
      </c>
      <c r="O681" s="257">
        <v>0</v>
      </c>
    </row>
    <row r="682" spans="1:15" s="430" customFormat="1" ht="30" customHeight="1" x14ac:dyDescent="0.2">
      <c r="A682" s="462" t="s">
        <v>1305</v>
      </c>
      <c r="B682" s="249">
        <v>801</v>
      </c>
      <c r="C682" s="250" t="s">
        <v>194</v>
      </c>
      <c r="D682" s="250" t="s">
        <v>214</v>
      </c>
      <c r="E682" s="250"/>
      <c r="F682" s="250"/>
      <c r="G682" s="275"/>
      <c r="H682" s="275"/>
      <c r="I682" s="275"/>
      <c r="J682" s="275"/>
      <c r="K682" s="275"/>
      <c r="L682" s="275">
        <f>L683</f>
        <v>0</v>
      </c>
      <c r="M682" s="275">
        <f t="shared" ref="M682:O682" si="575">M683</f>
        <v>5961</v>
      </c>
      <c r="N682" s="275">
        <f t="shared" si="575"/>
        <v>5961</v>
      </c>
      <c r="O682" s="275">
        <f t="shared" si="575"/>
        <v>5961</v>
      </c>
    </row>
    <row r="683" spans="1:15" ht="18.75" customHeight="1" x14ac:dyDescent="0.2">
      <c r="A683" s="462" t="s">
        <v>1095</v>
      </c>
      <c r="B683" s="249" t="s">
        <v>146</v>
      </c>
      <c r="C683" s="250" t="s">
        <v>194</v>
      </c>
      <c r="D683" s="250" t="s">
        <v>214</v>
      </c>
      <c r="E683" s="250" t="s">
        <v>1097</v>
      </c>
      <c r="F683" s="250"/>
      <c r="G683" s="275">
        <v>6682.2</v>
      </c>
      <c r="H683" s="275">
        <v>-343.2</v>
      </c>
      <c r="I683" s="275">
        <v>5563.7</v>
      </c>
      <c r="J683" s="275" t="e">
        <f>J684+J685+J686+J687+J688+#REF!+J689+J690+J691</f>
        <v>#REF!</v>
      </c>
      <c r="K683" s="275" t="e">
        <f>L684+L685+L686+L687+L688+#REF!+L689+L690+L691</f>
        <v>#REF!</v>
      </c>
      <c r="L683" s="275">
        <f>L684+L685+L686+L687+L688+L689+L690+L691</f>
        <v>0</v>
      </c>
      <c r="M683" s="275">
        <f t="shared" ref="M683:O683" si="576">M684+M685+M686+M687+M688+M689+M690+M691</f>
        <v>5961</v>
      </c>
      <c r="N683" s="275">
        <f t="shared" si="576"/>
        <v>5961</v>
      </c>
      <c r="O683" s="275">
        <f t="shared" si="576"/>
        <v>5961</v>
      </c>
    </row>
    <row r="684" spans="1:15" ht="18.75" customHeight="1" x14ac:dyDescent="0.2">
      <c r="A684" s="259" t="s">
        <v>897</v>
      </c>
      <c r="B684" s="271" t="s">
        <v>146</v>
      </c>
      <c r="C684" s="252" t="s">
        <v>194</v>
      </c>
      <c r="D684" s="252" t="s">
        <v>214</v>
      </c>
      <c r="E684" s="252" t="s">
        <v>1097</v>
      </c>
      <c r="F684" s="252" t="s">
        <v>832</v>
      </c>
      <c r="G684" s="257">
        <v>3895.2</v>
      </c>
      <c r="H684" s="257">
        <v>-128.19999999999999</v>
      </c>
      <c r="I684" s="257">
        <v>3895.2</v>
      </c>
      <c r="J684" s="257">
        <v>287.8</v>
      </c>
      <c r="K684" s="257">
        <f t="shared" ref="K684:K690" si="577">I684+J684</f>
        <v>4183</v>
      </c>
      <c r="L684" s="257">
        <v>0</v>
      </c>
      <c r="M684" s="257">
        <v>4183</v>
      </c>
      <c r="N684" s="257">
        <f t="shared" ref="N684:N691" si="578">L684+M684</f>
        <v>4183</v>
      </c>
      <c r="O684" s="257">
        <v>4183</v>
      </c>
    </row>
    <row r="685" spans="1:15" ht="28.5" customHeight="1" x14ac:dyDescent="0.2">
      <c r="A685" s="375" t="s">
        <v>900</v>
      </c>
      <c r="B685" s="271" t="s">
        <v>146</v>
      </c>
      <c r="C685" s="252" t="s">
        <v>194</v>
      </c>
      <c r="D685" s="252" t="s">
        <v>214</v>
      </c>
      <c r="E685" s="252" t="s">
        <v>1097</v>
      </c>
      <c r="F685" s="252" t="s">
        <v>899</v>
      </c>
      <c r="G685" s="257">
        <v>1177</v>
      </c>
      <c r="H685" s="257">
        <v>-39</v>
      </c>
      <c r="I685" s="257">
        <v>1177</v>
      </c>
      <c r="J685" s="257">
        <v>267</v>
      </c>
      <c r="K685" s="257">
        <f t="shared" si="577"/>
        <v>1444</v>
      </c>
      <c r="L685" s="257">
        <v>0</v>
      </c>
      <c r="M685" s="257">
        <v>1444</v>
      </c>
      <c r="N685" s="257">
        <f t="shared" si="578"/>
        <v>1444</v>
      </c>
      <c r="O685" s="257">
        <v>1444</v>
      </c>
    </row>
    <row r="686" spans="1:15" ht="18.75" hidden="1" customHeight="1" x14ac:dyDescent="0.2">
      <c r="A686" s="259" t="s">
        <v>897</v>
      </c>
      <c r="B686" s="271" t="s">
        <v>146</v>
      </c>
      <c r="C686" s="252" t="s">
        <v>194</v>
      </c>
      <c r="D686" s="252" t="s">
        <v>214</v>
      </c>
      <c r="E686" s="252" t="s">
        <v>1291</v>
      </c>
      <c r="F686" s="252" t="s">
        <v>832</v>
      </c>
      <c r="G686" s="257">
        <v>730</v>
      </c>
      <c r="H686" s="257">
        <v>0</v>
      </c>
      <c r="I686" s="257">
        <v>0</v>
      </c>
      <c r="J686" s="257">
        <v>0</v>
      </c>
      <c r="K686" s="257">
        <f t="shared" si="577"/>
        <v>0</v>
      </c>
      <c r="L686" s="257">
        <v>0</v>
      </c>
      <c r="M686" s="257">
        <v>0</v>
      </c>
      <c r="N686" s="257">
        <f t="shared" si="578"/>
        <v>0</v>
      </c>
      <c r="O686" s="257">
        <v>0</v>
      </c>
    </row>
    <row r="687" spans="1:15" ht="29.25" hidden="1" customHeight="1" x14ac:dyDescent="0.2">
      <c r="A687" s="375" t="s">
        <v>900</v>
      </c>
      <c r="B687" s="271" t="s">
        <v>146</v>
      </c>
      <c r="C687" s="252" t="s">
        <v>194</v>
      </c>
      <c r="D687" s="252" t="s">
        <v>214</v>
      </c>
      <c r="E687" s="252" t="s">
        <v>1291</v>
      </c>
      <c r="F687" s="252" t="s">
        <v>899</v>
      </c>
      <c r="G687" s="257">
        <v>220</v>
      </c>
      <c r="H687" s="257">
        <v>0</v>
      </c>
      <c r="I687" s="257">
        <v>0</v>
      </c>
      <c r="J687" s="257">
        <v>0</v>
      </c>
      <c r="K687" s="257">
        <f t="shared" si="577"/>
        <v>0</v>
      </c>
      <c r="L687" s="257">
        <v>0</v>
      </c>
      <c r="M687" s="257">
        <v>0</v>
      </c>
      <c r="N687" s="257">
        <f t="shared" si="578"/>
        <v>0</v>
      </c>
      <c r="O687" s="257">
        <v>0</v>
      </c>
    </row>
    <row r="688" spans="1:15" ht="18.75" customHeight="1" x14ac:dyDescent="0.2">
      <c r="A688" s="259" t="s">
        <v>952</v>
      </c>
      <c r="B688" s="271" t="s">
        <v>146</v>
      </c>
      <c r="C688" s="252" t="s">
        <v>194</v>
      </c>
      <c r="D688" s="252" t="s">
        <v>214</v>
      </c>
      <c r="E688" s="252" t="s">
        <v>1097</v>
      </c>
      <c r="F688" s="252" t="s">
        <v>919</v>
      </c>
      <c r="G688" s="257">
        <v>18</v>
      </c>
      <c r="H688" s="257">
        <v>0</v>
      </c>
      <c r="I688" s="257">
        <v>18</v>
      </c>
      <c r="J688" s="257">
        <v>0</v>
      </c>
      <c r="K688" s="257">
        <f t="shared" si="577"/>
        <v>18</v>
      </c>
      <c r="L688" s="257">
        <v>0</v>
      </c>
      <c r="M688" s="257">
        <v>18</v>
      </c>
      <c r="N688" s="257">
        <f t="shared" si="578"/>
        <v>18</v>
      </c>
      <c r="O688" s="257">
        <v>18</v>
      </c>
    </row>
    <row r="689" spans="1:15" ht="18.75" customHeight="1" x14ac:dyDescent="0.2">
      <c r="A689" s="259" t="s">
        <v>93</v>
      </c>
      <c r="B689" s="271" t="s">
        <v>146</v>
      </c>
      <c r="C689" s="252" t="s">
        <v>194</v>
      </c>
      <c r="D689" s="252" t="s">
        <v>214</v>
      </c>
      <c r="E689" s="252" t="s">
        <v>1097</v>
      </c>
      <c r="F689" s="252" t="s">
        <v>94</v>
      </c>
      <c r="G689" s="257">
        <v>191</v>
      </c>
      <c r="H689" s="257">
        <v>0</v>
      </c>
      <c r="I689" s="257">
        <v>191</v>
      </c>
      <c r="J689" s="257">
        <v>105</v>
      </c>
      <c r="K689" s="257">
        <f t="shared" si="577"/>
        <v>296</v>
      </c>
      <c r="L689" s="257">
        <v>0</v>
      </c>
      <c r="M689" s="257">
        <v>296</v>
      </c>
      <c r="N689" s="257">
        <f t="shared" si="578"/>
        <v>296</v>
      </c>
      <c r="O689" s="257">
        <v>296</v>
      </c>
    </row>
    <row r="690" spans="1:15" ht="18.75" hidden="1" customHeight="1" x14ac:dyDescent="0.2">
      <c r="A690" s="259" t="s">
        <v>103</v>
      </c>
      <c r="B690" s="271" t="s">
        <v>146</v>
      </c>
      <c r="C690" s="252" t="s">
        <v>194</v>
      </c>
      <c r="D690" s="252" t="s">
        <v>214</v>
      </c>
      <c r="E690" s="252" t="s">
        <v>1097</v>
      </c>
      <c r="F690" s="252" t="s">
        <v>104</v>
      </c>
      <c r="G690" s="257">
        <v>0</v>
      </c>
      <c r="H690" s="257">
        <v>0</v>
      </c>
      <c r="I690" s="257">
        <v>0</v>
      </c>
      <c r="J690" s="257">
        <v>0</v>
      </c>
      <c r="K690" s="257">
        <f t="shared" si="577"/>
        <v>0</v>
      </c>
      <c r="L690" s="257">
        <f t="shared" ref="L690" si="579">J690+K690</f>
        <v>0</v>
      </c>
      <c r="M690" s="257">
        <v>0</v>
      </c>
      <c r="N690" s="257">
        <f t="shared" si="578"/>
        <v>0</v>
      </c>
      <c r="O690" s="257">
        <f t="shared" ref="O690" si="580">M690+N690</f>
        <v>0</v>
      </c>
    </row>
    <row r="691" spans="1:15" ht="29.25" customHeight="1" x14ac:dyDescent="0.2">
      <c r="A691" s="259" t="s">
        <v>1096</v>
      </c>
      <c r="B691" s="271" t="s">
        <v>146</v>
      </c>
      <c r="C691" s="252" t="s">
        <v>194</v>
      </c>
      <c r="D691" s="252" t="s">
        <v>214</v>
      </c>
      <c r="E691" s="252" t="s">
        <v>1132</v>
      </c>
      <c r="F691" s="252" t="s">
        <v>94</v>
      </c>
      <c r="G691" s="257">
        <v>346</v>
      </c>
      <c r="H691" s="257">
        <v>-196</v>
      </c>
      <c r="I691" s="257">
        <v>177.5</v>
      </c>
      <c r="J691" s="257" t="e">
        <f>#REF!+#REF!</f>
        <v>#REF!</v>
      </c>
      <c r="K691" s="257" t="e">
        <f>#REF!+#REF!</f>
        <v>#REF!</v>
      </c>
      <c r="L691" s="257">
        <v>0</v>
      </c>
      <c r="M691" s="257">
        <v>20</v>
      </c>
      <c r="N691" s="257">
        <f t="shared" si="578"/>
        <v>20</v>
      </c>
      <c r="O691" s="257">
        <v>20</v>
      </c>
    </row>
    <row r="692" spans="1:15" ht="21.75" customHeight="1" x14ac:dyDescent="0.2">
      <c r="A692" s="462" t="s">
        <v>48</v>
      </c>
      <c r="B692" s="249">
        <v>801</v>
      </c>
      <c r="C692" s="250" t="s">
        <v>194</v>
      </c>
      <c r="D692" s="250" t="s">
        <v>208</v>
      </c>
      <c r="E692" s="250"/>
      <c r="F692" s="250"/>
      <c r="G692" s="275">
        <v>0</v>
      </c>
      <c r="H692" s="275">
        <v>0</v>
      </c>
      <c r="I692" s="275">
        <v>0</v>
      </c>
      <c r="J692" s="275">
        <f t="shared" ref="J692" si="581">J695</f>
        <v>0</v>
      </c>
      <c r="K692" s="275">
        <f>L695</f>
        <v>0</v>
      </c>
      <c r="L692" s="275">
        <f>L693</f>
        <v>0</v>
      </c>
      <c r="M692" s="275">
        <f t="shared" ref="M692:O692" si="582">M693</f>
        <v>70</v>
      </c>
      <c r="N692" s="275">
        <f t="shared" si="582"/>
        <v>70</v>
      </c>
      <c r="O692" s="275">
        <f t="shared" si="582"/>
        <v>70</v>
      </c>
    </row>
    <row r="693" spans="1:15" ht="28.5" customHeight="1" x14ac:dyDescent="0.2">
      <c r="A693" s="259" t="s">
        <v>981</v>
      </c>
      <c r="B693" s="271">
        <v>801</v>
      </c>
      <c r="C693" s="252" t="s">
        <v>194</v>
      </c>
      <c r="D693" s="252" t="s">
        <v>208</v>
      </c>
      <c r="E693" s="252" t="s">
        <v>803</v>
      </c>
      <c r="F693" s="252"/>
      <c r="G693" s="257">
        <v>70</v>
      </c>
      <c r="H693" s="257">
        <v>0</v>
      </c>
      <c r="I693" s="257">
        <v>20</v>
      </c>
      <c r="J693" s="257">
        <f t="shared" ref="J693" si="583">J694+J695+J696</f>
        <v>50</v>
      </c>
      <c r="K693" s="257">
        <f>L694+L695+L696</f>
        <v>0</v>
      </c>
      <c r="L693" s="257">
        <f t="shared" ref="L693:O693" si="584">L694+L695+L696</f>
        <v>0</v>
      </c>
      <c r="M693" s="257">
        <f t="shared" si="584"/>
        <v>70</v>
      </c>
      <c r="N693" s="257">
        <f t="shared" si="584"/>
        <v>70</v>
      </c>
      <c r="O693" s="257">
        <f t="shared" si="584"/>
        <v>70</v>
      </c>
    </row>
    <row r="694" spans="1:15" ht="28.5" customHeight="1" x14ac:dyDescent="0.2">
      <c r="A694" s="259" t="s">
        <v>513</v>
      </c>
      <c r="B694" s="271">
        <v>801</v>
      </c>
      <c r="C694" s="252" t="s">
        <v>194</v>
      </c>
      <c r="D694" s="252" t="s">
        <v>208</v>
      </c>
      <c r="E694" s="252" t="s">
        <v>802</v>
      </c>
      <c r="F694" s="252" t="s">
        <v>94</v>
      </c>
      <c r="G694" s="257">
        <v>10</v>
      </c>
      <c r="H694" s="257">
        <v>0</v>
      </c>
      <c r="I694" s="257">
        <v>10</v>
      </c>
      <c r="J694" s="257">
        <v>0</v>
      </c>
      <c r="K694" s="257">
        <f t="shared" ref="K694:K696" si="585">I694+J694</f>
        <v>10</v>
      </c>
      <c r="L694" s="257">
        <v>0</v>
      </c>
      <c r="M694" s="257">
        <v>10</v>
      </c>
      <c r="N694" s="257">
        <f>L694+M694</f>
        <v>10</v>
      </c>
      <c r="O694" s="257">
        <v>10</v>
      </c>
    </row>
    <row r="695" spans="1:15" ht="36" customHeight="1" x14ac:dyDescent="0.2">
      <c r="A695" s="259" t="s">
        <v>737</v>
      </c>
      <c r="B695" s="271">
        <v>801</v>
      </c>
      <c r="C695" s="252" t="s">
        <v>194</v>
      </c>
      <c r="D695" s="252" t="s">
        <v>208</v>
      </c>
      <c r="E695" s="252" t="s">
        <v>801</v>
      </c>
      <c r="F695" s="252" t="s">
        <v>94</v>
      </c>
      <c r="G695" s="257">
        <v>10</v>
      </c>
      <c r="H695" s="257">
        <v>0</v>
      </c>
      <c r="I695" s="257">
        <v>10</v>
      </c>
      <c r="J695" s="257">
        <v>0</v>
      </c>
      <c r="K695" s="257">
        <f t="shared" si="585"/>
        <v>10</v>
      </c>
      <c r="L695" s="257">
        <v>0</v>
      </c>
      <c r="M695" s="257">
        <v>10</v>
      </c>
      <c r="N695" s="257">
        <f>L695+M695</f>
        <v>10</v>
      </c>
      <c r="O695" s="257">
        <v>10</v>
      </c>
    </row>
    <row r="696" spans="1:15" ht="18.75" customHeight="1" x14ac:dyDescent="0.2">
      <c r="A696" s="259" t="s">
        <v>514</v>
      </c>
      <c r="B696" s="271">
        <v>801</v>
      </c>
      <c r="C696" s="252" t="s">
        <v>194</v>
      </c>
      <c r="D696" s="252" t="s">
        <v>208</v>
      </c>
      <c r="E696" s="252" t="s">
        <v>800</v>
      </c>
      <c r="F696" s="252" t="s">
        <v>94</v>
      </c>
      <c r="G696" s="257">
        <v>50</v>
      </c>
      <c r="H696" s="257">
        <v>0</v>
      </c>
      <c r="I696" s="257">
        <v>0</v>
      </c>
      <c r="J696" s="257">
        <v>50</v>
      </c>
      <c r="K696" s="257">
        <f t="shared" si="585"/>
        <v>50</v>
      </c>
      <c r="L696" s="257">
        <v>0</v>
      </c>
      <c r="M696" s="257">
        <v>50</v>
      </c>
      <c r="N696" s="257">
        <f>L696+M696</f>
        <v>50</v>
      </c>
      <c r="O696" s="257">
        <v>50</v>
      </c>
    </row>
    <row r="697" spans="1:15" s="430" customFormat="1" ht="14.25" x14ac:dyDescent="0.2">
      <c r="A697" s="462" t="s">
        <v>306</v>
      </c>
      <c r="B697" s="249">
        <v>801</v>
      </c>
      <c r="C697" s="250" t="s">
        <v>196</v>
      </c>
      <c r="D697" s="250"/>
      <c r="E697" s="250"/>
      <c r="F697" s="250"/>
      <c r="G697" s="275">
        <v>12343</v>
      </c>
      <c r="H697" s="275">
        <v>-3952.2999999999993</v>
      </c>
      <c r="I697" s="275">
        <v>87697.51999999999</v>
      </c>
      <c r="J697" s="275">
        <f t="shared" ref="J697" si="586">J698+J735+J739+J733</f>
        <v>1488.51</v>
      </c>
      <c r="K697" s="275">
        <f>L698+L735+L739+L733</f>
        <v>19870.07</v>
      </c>
      <c r="L697" s="275">
        <f>L698+L733+L735+L739</f>
        <v>19870.07</v>
      </c>
      <c r="M697" s="275">
        <f t="shared" ref="M697:O697" si="587">M698+M733+M735+M739</f>
        <v>876.48</v>
      </c>
      <c r="N697" s="275">
        <f t="shared" si="587"/>
        <v>20746.55</v>
      </c>
      <c r="O697" s="275">
        <f t="shared" si="587"/>
        <v>21140.14</v>
      </c>
    </row>
    <row r="698" spans="1:15" ht="14.25" x14ac:dyDescent="0.2">
      <c r="A698" s="462" t="s">
        <v>217</v>
      </c>
      <c r="B698" s="249">
        <v>801</v>
      </c>
      <c r="C698" s="250" t="s">
        <v>196</v>
      </c>
      <c r="D698" s="250" t="s">
        <v>198</v>
      </c>
      <c r="E698" s="250"/>
      <c r="F698" s="250"/>
      <c r="G698" s="275">
        <v>2836.1</v>
      </c>
      <c r="H698" s="275">
        <v>57.6</v>
      </c>
      <c r="I698" s="275">
        <v>2848.7</v>
      </c>
      <c r="J698" s="275">
        <f t="shared" ref="J698" si="588">J721+J724+J727+J730</f>
        <v>470.5</v>
      </c>
      <c r="K698" s="275">
        <f>L721+L724+L727+L730</f>
        <v>3229.8</v>
      </c>
      <c r="L698" s="275">
        <f t="shared" ref="L698" si="589">L721+L724+L727+L730</f>
        <v>3229.8</v>
      </c>
      <c r="M698" s="275">
        <f t="shared" ref="M698:N698" si="590">M721+M724+M727+M730</f>
        <v>108.6</v>
      </c>
      <c r="N698" s="275">
        <f t="shared" si="590"/>
        <v>3338.4</v>
      </c>
      <c r="O698" s="275">
        <f t="shared" ref="O698" si="591">O721+O724+O727+O730</f>
        <v>3338.4</v>
      </c>
    </row>
    <row r="699" spans="1:15" ht="28.5" hidden="1" customHeight="1" x14ac:dyDescent="0.2">
      <c r="A699" s="259" t="s">
        <v>123</v>
      </c>
      <c r="B699" s="271">
        <v>801</v>
      </c>
      <c r="C699" s="252" t="s">
        <v>196</v>
      </c>
      <c r="D699" s="252" t="s">
        <v>198</v>
      </c>
      <c r="E699" s="252" t="s">
        <v>332</v>
      </c>
      <c r="F699" s="250"/>
      <c r="G699" s="257">
        <v>-10416</v>
      </c>
      <c r="H699" s="257">
        <v>-16926</v>
      </c>
      <c r="I699" s="257">
        <v>-16926</v>
      </c>
      <c r="J699" s="257" t="e">
        <f t="shared" ref="J699:M700" si="592">J700</f>
        <v>#REF!</v>
      </c>
      <c r="K699" s="257" t="e">
        <f>L700</f>
        <v>#REF!</v>
      </c>
      <c r="L699" s="257" t="e">
        <f t="shared" ref="L699:O700" si="593">L700</f>
        <v>#REF!</v>
      </c>
      <c r="M699" s="257" t="e">
        <f t="shared" si="592"/>
        <v>#REF!</v>
      </c>
      <c r="N699" s="257" t="e">
        <f t="shared" si="593"/>
        <v>#REF!</v>
      </c>
      <c r="O699" s="257" t="e">
        <f t="shared" si="593"/>
        <v>#REF!</v>
      </c>
    </row>
    <row r="700" spans="1:15" hidden="1" x14ac:dyDescent="0.2">
      <c r="A700" s="259" t="s">
        <v>333</v>
      </c>
      <c r="B700" s="271">
        <v>801</v>
      </c>
      <c r="C700" s="252" t="s">
        <v>196</v>
      </c>
      <c r="D700" s="252" t="s">
        <v>198</v>
      </c>
      <c r="E700" s="252" t="s">
        <v>334</v>
      </c>
      <c r="F700" s="252"/>
      <c r="G700" s="257">
        <v>-10416</v>
      </c>
      <c r="H700" s="257">
        <v>-16926</v>
      </c>
      <c r="I700" s="257">
        <v>-16926</v>
      </c>
      <c r="J700" s="257" t="e">
        <f t="shared" si="592"/>
        <v>#REF!</v>
      </c>
      <c r="K700" s="257" t="e">
        <f>L701</f>
        <v>#REF!</v>
      </c>
      <c r="L700" s="257" t="e">
        <f t="shared" si="593"/>
        <v>#REF!</v>
      </c>
      <c r="M700" s="257" t="e">
        <f t="shared" si="593"/>
        <v>#REF!</v>
      </c>
      <c r="N700" s="257" t="e">
        <f t="shared" si="593"/>
        <v>#REF!</v>
      </c>
      <c r="O700" s="257" t="e">
        <f t="shared" si="593"/>
        <v>#REF!</v>
      </c>
    </row>
    <row r="701" spans="1:15" hidden="1" x14ac:dyDescent="0.2">
      <c r="A701" s="259" t="s">
        <v>95</v>
      </c>
      <c r="B701" s="271">
        <v>801</v>
      </c>
      <c r="C701" s="252" t="s">
        <v>196</v>
      </c>
      <c r="D701" s="252" t="s">
        <v>198</v>
      </c>
      <c r="E701" s="252" t="s">
        <v>334</v>
      </c>
      <c r="F701" s="252" t="s">
        <v>96</v>
      </c>
      <c r="G701" s="257">
        <v>-10416</v>
      </c>
      <c r="H701" s="257">
        <v>-16926</v>
      </c>
      <c r="I701" s="257">
        <v>-16926</v>
      </c>
      <c r="J701" s="257" t="e">
        <f>#REF!+H701</f>
        <v>#REF!</v>
      </c>
      <c r="K701" s="257">
        <f t="shared" ref="K701" si="594">G701+I701</f>
        <v>-27342</v>
      </c>
      <c r="L701" s="257" t="e">
        <f>I701+J701</f>
        <v>#REF!</v>
      </c>
      <c r="M701" s="257" t="e">
        <f>I701+L701</f>
        <v>#REF!</v>
      </c>
      <c r="N701" s="257" t="e">
        <f>J701+L701</f>
        <v>#REF!</v>
      </c>
      <c r="O701" s="257" t="e">
        <f>L701+M701</f>
        <v>#REF!</v>
      </c>
    </row>
    <row r="702" spans="1:15" ht="18" hidden="1" customHeight="1" x14ac:dyDescent="0.2">
      <c r="A702" s="259" t="s">
        <v>973</v>
      </c>
      <c r="B702" s="271">
        <v>801</v>
      </c>
      <c r="C702" s="252" t="s">
        <v>196</v>
      </c>
      <c r="D702" s="252" t="s">
        <v>198</v>
      </c>
      <c r="E702" s="252" t="s">
        <v>462</v>
      </c>
      <c r="F702" s="252"/>
      <c r="G702" s="257" t="e">
        <v>#REF!</v>
      </c>
      <c r="H702" s="257" t="e">
        <v>#REF!</v>
      </c>
      <c r="I702" s="257" t="e">
        <v>#REF!</v>
      </c>
      <c r="J702" s="257" t="e">
        <f t="shared" ref="J702" si="595">J703+J705</f>
        <v>#REF!</v>
      </c>
      <c r="K702" s="257" t="e">
        <f>L703+L705</f>
        <v>#REF!</v>
      </c>
      <c r="L702" s="257" t="e">
        <f t="shared" ref="L702" si="596">L703+L705</f>
        <v>#REF!</v>
      </c>
      <c r="M702" s="257" t="e">
        <f t="shared" ref="M702:N702" si="597">M703+M705</f>
        <v>#REF!</v>
      </c>
      <c r="N702" s="257" t="e">
        <f t="shared" si="597"/>
        <v>#REF!</v>
      </c>
      <c r="O702" s="257" t="e">
        <f t="shared" ref="O702" si="598">O703+O705</f>
        <v>#REF!</v>
      </c>
    </row>
    <row r="703" spans="1:15" ht="42.75" hidden="1" customHeight="1" x14ac:dyDescent="0.2">
      <c r="A703" s="259" t="s">
        <v>982</v>
      </c>
      <c r="B703" s="271">
        <v>801</v>
      </c>
      <c r="C703" s="252" t="s">
        <v>196</v>
      </c>
      <c r="D703" s="252" t="s">
        <v>198</v>
      </c>
      <c r="E703" s="252" t="s">
        <v>515</v>
      </c>
      <c r="F703" s="252"/>
      <c r="G703" s="257" t="e">
        <v>#REF!</v>
      </c>
      <c r="H703" s="257" t="e">
        <v>#REF!</v>
      </c>
      <c r="I703" s="257" t="e">
        <v>#REF!</v>
      </c>
      <c r="J703" s="257" t="e">
        <f t="shared" ref="J703:O703" si="599">J704</f>
        <v>#REF!</v>
      </c>
      <c r="K703" s="257" t="e">
        <f>L704</f>
        <v>#REF!</v>
      </c>
      <c r="L703" s="257" t="e">
        <f t="shared" si="599"/>
        <v>#REF!</v>
      </c>
      <c r="M703" s="257" t="e">
        <f t="shared" si="599"/>
        <v>#REF!</v>
      </c>
      <c r="N703" s="257" t="e">
        <f t="shared" si="599"/>
        <v>#REF!</v>
      </c>
      <c r="O703" s="257" t="e">
        <f t="shared" si="599"/>
        <v>#REF!</v>
      </c>
    </row>
    <row r="704" spans="1:15" ht="18.75" hidden="1" customHeight="1" x14ac:dyDescent="0.2">
      <c r="A704" s="259" t="s">
        <v>95</v>
      </c>
      <c r="B704" s="271">
        <v>801</v>
      </c>
      <c r="C704" s="252" t="s">
        <v>196</v>
      </c>
      <c r="D704" s="252" t="s">
        <v>198</v>
      </c>
      <c r="E704" s="252" t="s">
        <v>515</v>
      </c>
      <c r="F704" s="252" t="s">
        <v>96</v>
      </c>
      <c r="G704" s="257" t="e">
        <v>#REF!</v>
      </c>
      <c r="H704" s="257" t="e">
        <v>#REF!</v>
      </c>
      <c r="I704" s="257" t="e">
        <v>#REF!</v>
      </c>
      <c r="J704" s="257" t="e">
        <f>#REF!+H704</f>
        <v>#REF!</v>
      </c>
      <c r="K704" s="257" t="e">
        <f>#REF!+I704</f>
        <v>#REF!</v>
      </c>
      <c r="L704" s="257" t="e">
        <f>#REF!+J704</f>
        <v>#REF!</v>
      </c>
      <c r="M704" s="257" t="e">
        <f>#REF!+L704</f>
        <v>#REF!</v>
      </c>
      <c r="N704" s="257" t="e">
        <f>#REF!+L704</f>
        <v>#REF!</v>
      </c>
      <c r="O704" s="257" t="e">
        <f>#REF!+M704</f>
        <v>#REF!</v>
      </c>
    </row>
    <row r="705" spans="1:15" ht="39.75" hidden="1" customHeight="1" x14ac:dyDescent="0.2">
      <c r="A705" s="259" t="s">
        <v>983</v>
      </c>
      <c r="B705" s="271">
        <v>801</v>
      </c>
      <c r="C705" s="252" t="s">
        <v>196</v>
      </c>
      <c r="D705" s="252" t="s">
        <v>198</v>
      </c>
      <c r="E705" s="252" t="s">
        <v>516</v>
      </c>
      <c r="F705" s="251"/>
      <c r="G705" s="257" t="e">
        <v>#REF!</v>
      </c>
      <c r="H705" s="257" t="e">
        <v>#REF!</v>
      </c>
      <c r="I705" s="257" t="e">
        <v>#REF!</v>
      </c>
      <c r="J705" s="257" t="e">
        <f t="shared" ref="J705:O705" si="600">J706</f>
        <v>#REF!</v>
      </c>
      <c r="K705" s="257" t="e">
        <f>L706</f>
        <v>#REF!</v>
      </c>
      <c r="L705" s="257" t="e">
        <f t="shared" si="600"/>
        <v>#REF!</v>
      </c>
      <c r="M705" s="257" t="e">
        <f t="shared" si="600"/>
        <v>#REF!</v>
      </c>
      <c r="N705" s="257" t="e">
        <f t="shared" si="600"/>
        <v>#REF!</v>
      </c>
      <c r="O705" s="257" t="e">
        <f t="shared" si="600"/>
        <v>#REF!</v>
      </c>
    </row>
    <row r="706" spans="1:15" ht="21.75" hidden="1" customHeight="1" x14ac:dyDescent="0.2">
      <c r="A706" s="259" t="s">
        <v>721</v>
      </c>
      <c r="B706" s="271">
        <v>801</v>
      </c>
      <c r="C706" s="252" t="s">
        <v>196</v>
      </c>
      <c r="D706" s="252" t="s">
        <v>198</v>
      </c>
      <c r="E706" s="252" t="s">
        <v>517</v>
      </c>
      <c r="F706" s="252" t="s">
        <v>94</v>
      </c>
      <c r="G706" s="257" t="e">
        <v>#REF!</v>
      </c>
      <c r="H706" s="257" t="e">
        <v>#REF!</v>
      </c>
      <c r="I706" s="257" t="e">
        <v>#REF!</v>
      </c>
      <c r="J706" s="257" t="e">
        <f>#REF!+H706</f>
        <v>#REF!</v>
      </c>
      <c r="K706" s="257" t="e">
        <f>#REF!+I706</f>
        <v>#REF!</v>
      </c>
      <c r="L706" s="257" t="e">
        <f>#REF!+J706</f>
        <v>#REF!</v>
      </c>
      <c r="M706" s="257" t="e">
        <f>#REF!+L706</f>
        <v>#REF!</v>
      </c>
      <c r="N706" s="257" t="e">
        <f>#REF!+L706</f>
        <v>#REF!</v>
      </c>
      <c r="O706" s="257" t="e">
        <f>#REF!+M706</f>
        <v>#REF!</v>
      </c>
    </row>
    <row r="707" spans="1:15" ht="39.75" hidden="1" customHeight="1" x14ac:dyDescent="0.2">
      <c r="A707" s="376" t="s">
        <v>732</v>
      </c>
      <c r="B707" s="271">
        <v>801</v>
      </c>
      <c r="C707" s="272" t="s">
        <v>196</v>
      </c>
      <c r="D707" s="272" t="s">
        <v>198</v>
      </c>
      <c r="E707" s="272" t="s">
        <v>518</v>
      </c>
      <c r="F707" s="272"/>
      <c r="G707" s="257" t="e">
        <v>#REF!</v>
      </c>
      <c r="H707" s="257" t="e">
        <v>#REF!</v>
      </c>
      <c r="I707" s="257" t="e">
        <v>#REF!</v>
      </c>
      <c r="J707" s="257" t="e">
        <f t="shared" ref="J707" si="601">J708+J710</f>
        <v>#REF!</v>
      </c>
      <c r="K707" s="257" t="e">
        <f>L708+L710</f>
        <v>#REF!</v>
      </c>
      <c r="L707" s="257" t="e">
        <f t="shared" ref="L707" si="602">L708+L710</f>
        <v>#REF!</v>
      </c>
      <c r="M707" s="257" t="e">
        <f t="shared" ref="M707:N707" si="603">M708+M710</f>
        <v>#REF!</v>
      </c>
      <c r="N707" s="257" t="e">
        <f t="shared" si="603"/>
        <v>#REF!</v>
      </c>
      <c r="O707" s="257" t="e">
        <f t="shared" ref="O707" si="604">O708+O710</f>
        <v>#REF!</v>
      </c>
    </row>
    <row r="708" spans="1:15" ht="71.25" hidden="1" customHeight="1" x14ac:dyDescent="0.2">
      <c r="A708" s="376" t="s">
        <v>728</v>
      </c>
      <c r="B708" s="271">
        <v>801</v>
      </c>
      <c r="C708" s="272" t="s">
        <v>196</v>
      </c>
      <c r="D708" s="272" t="s">
        <v>198</v>
      </c>
      <c r="E708" s="272" t="s">
        <v>729</v>
      </c>
      <c r="F708" s="272"/>
      <c r="G708" s="257" t="e">
        <v>#REF!</v>
      </c>
      <c r="H708" s="257" t="e">
        <v>#REF!</v>
      </c>
      <c r="I708" s="257" t="e">
        <v>#REF!</v>
      </c>
      <c r="J708" s="257" t="e">
        <f t="shared" ref="J708:O708" si="605">J709</f>
        <v>#REF!</v>
      </c>
      <c r="K708" s="257" t="e">
        <f>L709</f>
        <v>#REF!</v>
      </c>
      <c r="L708" s="257" t="e">
        <f t="shared" si="605"/>
        <v>#REF!</v>
      </c>
      <c r="M708" s="257" t="e">
        <f t="shared" si="605"/>
        <v>#REF!</v>
      </c>
      <c r="N708" s="257" t="e">
        <f t="shared" si="605"/>
        <v>#REF!</v>
      </c>
      <c r="O708" s="257" t="e">
        <f t="shared" si="605"/>
        <v>#REF!</v>
      </c>
    </row>
    <row r="709" spans="1:15" ht="21" hidden="1" customHeight="1" x14ac:dyDescent="0.2">
      <c r="A709" s="259" t="s">
        <v>93</v>
      </c>
      <c r="B709" s="271">
        <v>801</v>
      </c>
      <c r="C709" s="272" t="s">
        <v>196</v>
      </c>
      <c r="D709" s="272" t="s">
        <v>198</v>
      </c>
      <c r="E709" s="272" t="s">
        <v>729</v>
      </c>
      <c r="F709" s="272" t="s">
        <v>94</v>
      </c>
      <c r="G709" s="257" t="e">
        <v>#REF!</v>
      </c>
      <c r="H709" s="257" t="e">
        <v>#REF!</v>
      </c>
      <c r="I709" s="257" t="e">
        <v>#REF!</v>
      </c>
      <c r="J709" s="257" t="e">
        <f>#REF!+H709</f>
        <v>#REF!</v>
      </c>
      <c r="K709" s="257" t="e">
        <f>#REF!+I709</f>
        <v>#REF!</v>
      </c>
      <c r="L709" s="257" t="e">
        <f>#REF!+J709</f>
        <v>#REF!</v>
      </c>
      <c r="M709" s="257" t="e">
        <f>#REF!+L709</f>
        <v>#REF!</v>
      </c>
      <c r="N709" s="257" t="e">
        <f>#REF!+L709</f>
        <v>#REF!</v>
      </c>
      <c r="O709" s="257" t="e">
        <f>#REF!+M709</f>
        <v>#REF!</v>
      </c>
    </row>
    <row r="710" spans="1:15" ht="93.75" hidden="1" customHeight="1" x14ac:dyDescent="0.2">
      <c r="A710" s="270" t="s">
        <v>730</v>
      </c>
      <c r="B710" s="271">
        <v>801</v>
      </c>
      <c r="C710" s="272" t="s">
        <v>196</v>
      </c>
      <c r="D710" s="272" t="s">
        <v>198</v>
      </c>
      <c r="E710" s="272" t="s">
        <v>731</v>
      </c>
      <c r="F710" s="272"/>
      <c r="G710" s="257" t="e">
        <v>#REF!</v>
      </c>
      <c r="H710" s="257" t="e">
        <v>#REF!</v>
      </c>
      <c r="I710" s="257" t="e">
        <v>#REF!</v>
      </c>
      <c r="J710" s="257" t="e">
        <f t="shared" ref="J710:O710" si="606">J711</f>
        <v>#REF!</v>
      </c>
      <c r="K710" s="257" t="e">
        <f>L711</f>
        <v>#REF!</v>
      </c>
      <c r="L710" s="257" t="e">
        <f t="shared" si="606"/>
        <v>#REF!</v>
      </c>
      <c r="M710" s="257" t="e">
        <f t="shared" si="606"/>
        <v>#REF!</v>
      </c>
      <c r="N710" s="257" t="e">
        <f t="shared" si="606"/>
        <v>#REF!</v>
      </c>
      <c r="O710" s="257" t="e">
        <f t="shared" si="606"/>
        <v>#REF!</v>
      </c>
    </row>
    <row r="711" spans="1:15" ht="18" hidden="1" customHeight="1" x14ac:dyDescent="0.2">
      <c r="A711" s="259" t="s">
        <v>93</v>
      </c>
      <c r="B711" s="271">
        <v>801</v>
      </c>
      <c r="C711" s="272" t="s">
        <v>196</v>
      </c>
      <c r="D711" s="272" t="s">
        <v>198</v>
      </c>
      <c r="E711" s="272" t="s">
        <v>731</v>
      </c>
      <c r="F711" s="272" t="s">
        <v>94</v>
      </c>
      <c r="G711" s="257" t="e">
        <v>#REF!</v>
      </c>
      <c r="H711" s="257" t="e">
        <v>#REF!</v>
      </c>
      <c r="I711" s="257" t="e">
        <v>#REF!</v>
      </c>
      <c r="J711" s="257" t="e">
        <f>#REF!+H711</f>
        <v>#REF!</v>
      </c>
      <c r="K711" s="257" t="e">
        <f>#REF!+I711</f>
        <v>#REF!</v>
      </c>
      <c r="L711" s="257" t="e">
        <f>#REF!+J711</f>
        <v>#REF!</v>
      </c>
      <c r="M711" s="257" t="e">
        <f>#REF!+L711</f>
        <v>#REF!</v>
      </c>
      <c r="N711" s="257" t="e">
        <f>#REF!+L711</f>
        <v>#REF!</v>
      </c>
      <c r="O711" s="257" t="e">
        <f>#REF!+M711</f>
        <v>#REF!</v>
      </c>
    </row>
    <row r="712" spans="1:15" ht="21.75" hidden="1" customHeight="1" x14ac:dyDescent="0.2">
      <c r="A712" s="259"/>
      <c r="B712" s="271"/>
      <c r="C712" s="252"/>
      <c r="D712" s="252"/>
      <c r="E712" s="252"/>
      <c r="F712" s="252"/>
      <c r="G712" s="257"/>
      <c r="H712" s="257"/>
      <c r="I712" s="257"/>
      <c r="J712" s="257"/>
      <c r="K712" s="257"/>
      <c r="L712" s="257"/>
      <c r="M712" s="257"/>
      <c r="N712" s="257"/>
      <c r="O712" s="257"/>
    </row>
    <row r="713" spans="1:15" ht="21.75" hidden="1" customHeight="1" x14ac:dyDescent="0.2">
      <c r="A713" s="259"/>
      <c r="B713" s="271"/>
      <c r="C713" s="252"/>
      <c r="D713" s="252"/>
      <c r="E713" s="252"/>
      <c r="F713" s="252"/>
      <c r="G713" s="257"/>
      <c r="H713" s="257"/>
      <c r="I713" s="257"/>
      <c r="J713" s="257"/>
      <c r="K713" s="257"/>
      <c r="L713" s="257"/>
      <c r="M713" s="257"/>
      <c r="N713" s="257"/>
      <c r="O713" s="257"/>
    </row>
    <row r="714" spans="1:15" hidden="1" x14ac:dyDescent="0.2">
      <c r="A714" s="259" t="s">
        <v>404</v>
      </c>
      <c r="B714" s="271">
        <v>801</v>
      </c>
      <c r="C714" s="252" t="s">
        <v>196</v>
      </c>
      <c r="D714" s="252" t="s">
        <v>198</v>
      </c>
      <c r="E714" s="252" t="s">
        <v>62</v>
      </c>
      <c r="F714" s="252"/>
      <c r="G714" s="257">
        <v>-5608</v>
      </c>
      <c r="H714" s="257">
        <v>-9113</v>
      </c>
      <c r="I714" s="257">
        <v>-9113</v>
      </c>
      <c r="J714" s="257" t="e">
        <f t="shared" ref="J714" si="607">J719</f>
        <v>#REF!</v>
      </c>
      <c r="K714" s="257" t="e">
        <f>L719</f>
        <v>#REF!</v>
      </c>
      <c r="L714" s="257" t="e">
        <f t="shared" ref="L714" si="608">L719</f>
        <v>#REF!</v>
      </c>
      <c r="M714" s="257" t="e">
        <f t="shared" ref="M714:N714" si="609">M719</f>
        <v>#REF!</v>
      </c>
      <c r="N714" s="257" t="e">
        <f t="shared" si="609"/>
        <v>#REF!</v>
      </c>
      <c r="O714" s="257" t="e">
        <f t="shared" ref="O714" si="610">O719</f>
        <v>#REF!</v>
      </c>
    </row>
    <row r="715" spans="1:15" hidden="1" x14ac:dyDescent="0.2">
      <c r="A715" s="259" t="s">
        <v>542</v>
      </c>
      <c r="B715" s="271">
        <v>801</v>
      </c>
      <c r="C715" s="252" t="s">
        <v>196</v>
      </c>
      <c r="D715" s="252" t="s">
        <v>198</v>
      </c>
      <c r="E715" s="252" t="s">
        <v>175</v>
      </c>
      <c r="F715" s="252"/>
      <c r="G715" s="257" t="e">
        <v>#REF!</v>
      </c>
      <c r="H715" s="257" t="e">
        <v>#REF!</v>
      </c>
      <c r="I715" s="257" t="e">
        <v>#REF!</v>
      </c>
      <c r="J715" s="257" t="e">
        <f t="shared" ref="J715" si="611">J717+J716+J718</f>
        <v>#REF!</v>
      </c>
      <c r="K715" s="257" t="e">
        <f>L717+L716+L718</f>
        <v>#REF!</v>
      </c>
      <c r="L715" s="257" t="e">
        <f t="shared" ref="L715" si="612">L717+L716+L718</f>
        <v>#REF!</v>
      </c>
      <c r="M715" s="257" t="e">
        <f t="shared" ref="M715:N715" si="613">M717+M716+M718</f>
        <v>#REF!</v>
      </c>
      <c r="N715" s="257" t="e">
        <f t="shared" si="613"/>
        <v>#REF!</v>
      </c>
      <c r="O715" s="257" t="e">
        <f t="shared" ref="O715" si="614">O717+O716+O718</f>
        <v>#REF!</v>
      </c>
    </row>
    <row r="716" spans="1:15" hidden="1" x14ac:dyDescent="0.2">
      <c r="A716" s="259" t="s">
        <v>93</v>
      </c>
      <c r="B716" s="271">
        <v>801</v>
      </c>
      <c r="C716" s="252" t="s">
        <v>196</v>
      </c>
      <c r="D716" s="252" t="s">
        <v>198</v>
      </c>
      <c r="E716" s="252" t="s">
        <v>175</v>
      </c>
      <c r="F716" s="252" t="s">
        <v>94</v>
      </c>
      <c r="G716" s="257" t="e">
        <v>#REF!</v>
      </c>
      <c r="H716" s="257" t="e">
        <v>#REF!</v>
      </c>
      <c r="I716" s="257" t="e">
        <v>#REF!</v>
      </c>
      <c r="J716" s="257" t="e">
        <f>#REF!+H716</f>
        <v>#REF!</v>
      </c>
      <c r="K716" s="257" t="e">
        <f t="shared" ref="K716:K717" si="615">G716+I716</f>
        <v>#REF!</v>
      </c>
      <c r="L716" s="257" t="e">
        <f>I716+J716</f>
        <v>#REF!</v>
      </c>
      <c r="M716" s="257" t="e">
        <f>I716+L716</f>
        <v>#REF!</v>
      </c>
      <c r="N716" s="257" t="e">
        <f>J716+L716</f>
        <v>#REF!</v>
      </c>
      <c r="O716" s="257" t="e">
        <f>L716+M716</f>
        <v>#REF!</v>
      </c>
    </row>
    <row r="717" spans="1:15" ht="12.75" hidden="1" customHeight="1" x14ac:dyDescent="0.2">
      <c r="A717" s="259" t="s">
        <v>63</v>
      </c>
      <c r="B717" s="271">
        <v>801</v>
      </c>
      <c r="C717" s="252" t="s">
        <v>196</v>
      </c>
      <c r="D717" s="252" t="s">
        <v>198</v>
      </c>
      <c r="E717" s="252" t="s">
        <v>175</v>
      </c>
      <c r="F717" s="252" t="s">
        <v>64</v>
      </c>
      <c r="G717" s="257" t="e">
        <v>#REF!</v>
      </c>
      <c r="H717" s="257" t="e">
        <v>#REF!</v>
      </c>
      <c r="I717" s="257" t="e">
        <v>#REF!</v>
      </c>
      <c r="J717" s="257" t="e">
        <f>#REF!+H717</f>
        <v>#REF!</v>
      </c>
      <c r="K717" s="257" t="e">
        <f t="shared" si="615"/>
        <v>#REF!</v>
      </c>
      <c r="L717" s="257" t="e">
        <f>I717+J717</f>
        <v>#REF!</v>
      </c>
      <c r="M717" s="257" t="e">
        <f>I717+L717</f>
        <v>#REF!</v>
      </c>
      <c r="N717" s="257" t="e">
        <f>J717+L717</f>
        <v>#REF!</v>
      </c>
      <c r="O717" s="257" t="e">
        <f>L717+M717</f>
        <v>#REF!</v>
      </c>
    </row>
    <row r="718" spans="1:15" ht="41.25" hidden="1" customHeight="1" x14ac:dyDescent="0.2">
      <c r="A718" s="259" t="s">
        <v>132</v>
      </c>
      <c r="B718" s="271">
        <v>801</v>
      </c>
      <c r="C718" s="252" t="s">
        <v>196</v>
      </c>
      <c r="D718" s="252" t="s">
        <v>198</v>
      </c>
      <c r="E718" s="252" t="s">
        <v>175</v>
      </c>
      <c r="F718" s="252" t="s">
        <v>131</v>
      </c>
      <c r="G718" s="257">
        <v>0</v>
      </c>
      <c r="H718" s="257">
        <v>0</v>
      </c>
      <c r="I718" s="257">
        <v>0</v>
      </c>
      <c r="J718" s="257">
        <f t="shared" ref="J718:L718" si="616">H718</f>
        <v>0</v>
      </c>
      <c r="K718" s="257">
        <f t="shared" si="616"/>
        <v>0</v>
      </c>
      <c r="L718" s="257">
        <f t="shared" si="616"/>
        <v>0</v>
      </c>
      <c r="M718" s="257">
        <f>L718</f>
        <v>0</v>
      </c>
      <c r="N718" s="257">
        <f>L718</f>
        <v>0</v>
      </c>
      <c r="O718" s="257">
        <f t="shared" ref="O718" si="617">M718</f>
        <v>0</v>
      </c>
    </row>
    <row r="719" spans="1:15" ht="18.75" hidden="1" customHeight="1" x14ac:dyDescent="0.2">
      <c r="A719" s="259" t="s">
        <v>426</v>
      </c>
      <c r="B719" s="271">
        <v>801</v>
      </c>
      <c r="C719" s="252" t="s">
        <v>196</v>
      </c>
      <c r="D719" s="252" t="s">
        <v>198</v>
      </c>
      <c r="E719" s="252" t="s">
        <v>434</v>
      </c>
      <c r="F719" s="252"/>
      <c r="G719" s="257">
        <v>-5608</v>
      </c>
      <c r="H719" s="257">
        <v>-9113</v>
      </c>
      <c r="I719" s="257">
        <v>-9113</v>
      </c>
      <c r="J719" s="257" t="e">
        <f t="shared" ref="J719:O719" si="618">J720</f>
        <v>#REF!</v>
      </c>
      <c r="K719" s="257" t="e">
        <f>L720</f>
        <v>#REF!</v>
      </c>
      <c r="L719" s="257" t="e">
        <f t="shared" si="618"/>
        <v>#REF!</v>
      </c>
      <c r="M719" s="257" t="e">
        <f t="shared" si="618"/>
        <v>#REF!</v>
      </c>
      <c r="N719" s="257" t="e">
        <f t="shared" si="618"/>
        <v>#REF!</v>
      </c>
      <c r="O719" s="257" t="e">
        <f t="shared" si="618"/>
        <v>#REF!</v>
      </c>
    </row>
    <row r="720" spans="1:15" ht="20.25" hidden="1" customHeight="1" x14ac:dyDescent="0.2">
      <c r="A720" s="259" t="s">
        <v>93</v>
      </c>
      <c r="B720" s="271">
        <v>801</v>
      </c>
      <c r="C720" s="252" t="s">
        <v>196</v>
      </c>
      <c r="D720" s="252" t="s">
        <v>198</v>
      </c>
      <c r="E720" s="252" t="s">
        <v>434</v>
      </c>
      <c r="F720" s="252" t="s">
        <v>94</v>
      </c>
      <c r="G720" s="257">
        <v>-5608</v>
      </c>
      <c r="H720" s="257">
        <v>-9113</v>
      </c>
      <c r="I720" s="257">
        <v>-9113</v>
      </c>
      <c r="J720" s="257" t="e">
        <f>#REF!+H720</f>
        <v>#REF!</v>
      </c>
      <c r="K720" s="257">
        <f t="shared" ref="K720" si="619">G720+I720</f>
        <v>-14721</v>
      </c>
      <c r="L720" s="257" t="e">
        <f>I720+J720</f>
        <v>#REF!</v>
      </c>
      <c r="M720" s="257" t="e">
        <f>I720+L720</f>
        <v>#REF!</v>
      </c>
      <c r="N720" s="257" t="e">
        <f>J720+L720</f>
        <v>#REF!</v>
      </c>
      <c r="O720" s="257" t="e">
        <f>L720+M720</f>
        <v>#REF!</v>
      </c>
    </row>
    <row r="721" spans="1:15" ht="32.25" customHeight="1" x14ac:dyDescent="0.2">
      <c r="A721" s="259" t="s">
        <v>982</v>
      </c>
      <c r="B721" s="271">
        <v>801</v>
      </c>
      <c r="C721" s="252" t="s">
        <v>196</v>
      </c>
      <c r="D721" s="252" t="s">
        <v>198</v>
      </c>
      <c r="E721" s="252" t="s">
        <v>873</v>
      </c>
      <c r="F721" s="252"/>
      <c r="G721" s="257">
        <v>2225</v>
      </c>
      <c r="H721" s="257">
        <v>45</v>
      </c>
      <c r="I721" s="257">
        <v>2225</v>
      </c>
      <c r="J721" s="257">
        <f t="shared" ref="J721" si="620">J722+J723</f>
        <v>403</v>
      </c>
      <c r="K721" s="257">
        <f>L722+L723</f>
        <v>2628</v>
      </c>
      <c r="L721" s="257">
        <f t="shared" ref="L721" si="621">L722+L723</f>
        <v>2628</v>
      </c>
      <c r="M721" s="257">
        <f t="shared" ref="M721:N721" si="622">M722+M723</f>
        <v>0</v>
      </c>
      <c r="N721" s="257">
        <f t="shared" si="622"/>
        <v>2628</v>
      </c>
      <c r="O721" s="257">
        <f t="shared" ref="O721" si="623">O722+O723</f>
        <v>2628</v>
      </c>
    </row>
    <row r="722" spans="1:15" ht="20.25" customHeight="1" x14ac:dyDescent="0.2">
      <c r="A722" s="259" t="s">
        <v>95</v>
      </c>
      <c r="B722" s="271">
        <v>801</v>
      </c>
      <c r="C722" s="252" t="s">
        <v>196</v>
      </c>
      <c r="D722" s="252" t="s">
        <v>198</v>
      </c>
      <c r="E722" s="252" t="s">
        <v>873</v>
      </c>
      <c r="F722" s="252" t="s">
        <v>96</v>
      </c>
      <c r="G722" s="257">
        <v>1709</v>
      </c>
      <c r="H722" s="257">
        <v>34</v>
      </c>
      <c r="I722" s="257">
        <v>1709</v>
      </c>
      <c r="J722" s="257">
        <v>310</v>
      </c>
      <c r="K722" s="257">
        <f t="shared" ref="K722:K723" si="624">I722+J722</f>
        <v>2019</v>
      </c>
      <c r="L722" s="257">
        <v>2019</v>
      </c>
      <c r="M722" s="257">
        <v>0</v>
      </c>
      <c r="N722" s="257">
        <f>L722+M722</f>
        <v>2019</v>
      </c>
      <c r="O722" s="257">
        <v>2019</v>
      </c>
    </row>
    <row r="723" spans="1:15" ht="35.25" customHeight="1" x14ac:dyDescent="0.2">
      <c r="A723" s="375" t="s">
        <v>898</v>
      </c>
      <c r="B723" s="271">
        <v>801</v>
      </c>
      <c r="C723" s="252" t="s">
        <v>196</v>
      </c>
      <c r="D723" s="252" t="s">
        <v>198</v>
      </c>
      <c r="E723" s="252" t="s">
        <v>873</v>
      </c>
      <c r="F723" s="252" t="s">
        <v>896</v>
      </c>
      <c r="G723" s="257">
        <v>516</v>
      </c>
      <c r="H723" s="257">
        <v>11</v>
      </c>
      <c r="I723" s="257">
        <v>516</v>
      </c>
      <c r="J723" s="257">
        <v>93</v>
      </c>
      <c r="K723" s="257">
        <f t="shared" si="624"/>
        <v>609</v>
      </c>
      <c r="L723" s="257">
        <v>609</v>
      </c>
      <c r="M723" s="257">
        <v>0</v>
      </c>
      <c r="N723" s="257">
        <f>L723+M723</f>
        <v>609</v>
      </c>
      <c r="O723" s="257">
        <v>609</v>
      </c>
    </row>
    <row r="724" spans="1:15" ht="20.25" customHeight="1" x14ac:dyDescent="0.2">
      <c r="A724" s="259" t="s">
        <v>721</v>
      </c>
      <c r="B724" s="271">
        <v>801</v>
      </c>
      <c r="C724" s="252" t="s">
        <v>196</v>
      </c>
      <c r="D724" s="252" t="s">
        <v>198</v>
      </c>
      <c r="E724" s="252" t="s">
        <v>799</v>
      </c>
      <c r="F724" s="252"/>
      <c r="G724" s="257">
        <v>140</v>
      </c>
      <c r="H724" s="257">
        <v>0</v>
      </c>
      <c r="I724" s="257">
        <v>140</v>
      </c>
      <c r="J724" s="257">
        <f t="shared" ref="J724" si="625">J725+J726</f>
        <v>0</v>
      </c>
      <c r="K724" s="257">
        <f>L725+L726</f>
        <v>140</v>
      </c>
      <c r="L724" s="257">
        <f t="shared" ref="L724" si="626">L725+L726</f>
        <v>140</v>
      </c>
      <c r="M724" s="257">
        <f t="shared" ref="M724:N724" si="627">M725+M726</f>
        <v>0</v>
      </c>
      <c r="N724" s="257">
        <f t="shared" si="627"/>
        <v>140</v>
      </c>
      <c r="O724" s="257">
        <f t="shared" ref="O724" si="628">O725+O726</f>
        <v>140</v>
      </c>
    </row>
    <row r="725" spans="1:15" ht="20.25" customHeight="1" x14ac:dyDescent="0.2">
      <c r="A725" s="259" t="s">
        <v>93</v>
      </c>
      <c r="B725" s="271">
        <v>801</v>
      </c>
      <c r="C725" s="252" t="s">
        <v>196</v>
      </c>
      <c r="D725" s="252" t="s">
        <v>198</v>
      </c>
      <c r="E725" s="252" t="s">
        <v>799</v>
      </c>
      <c r="F725" s="252" t="s">
        <v>94</v>
      </c>
      <c r="G725" s="257">
        <v>140</v>
      </c>
      <c r="H725" s="257">
        <v>0</v>
      </c>
      <c r="I725" s="257">
        <v>140</v>
      </c>
      <c r="J725" s="257">
        <v>0</v>
      </c>
      <c r="K725" s="257">
        <f t="shared" ref="K725:L726" si="629">I725+J725</f>
        <v>140</v>
      </c>
      <c r="L725" s="257">
        <v>140</v>
      </c>
      <c r="M725" s="257">
        <v>0</v>
      </c>
      <c r="N725" s="257">
        <f>L725+M725</f>
        <v>140</v>
      </c>
      <c r="O725" s="257">
        <v>140</v>
      </c>
    </row>
    <row r="726" spans="1:15" ht="20.25" hidden="1" customHeight="1" x14ac:dyDescent="0.2">
      <c r="A726" s="259" t="s">
        <v>1088</v>
      </c>
      <c r="B726" s="271">
        <v>801</v>
      </c>
      <c r="C726" s="252" t="s">
        <v>196</v>
      </c>
      <c r="D726" s="252" t="s">
        <v>198</v>
      </c>
      <c r="E726" s="252" t="s">
        <v>799</v>
      </c>
      <c r="F726" s="252" t="s">
        <v>1089</v>
      </c>
      <c r="G726" s="257">
        <v>0</v>
      </c>
      <c r="H726" s="257">
        <v>0</v>
      </c>
      <c r="I726" s="257">
        <v>0</v>
      </c>
      <c r="J726" s="257">
        <v>0</v>
      </c>
      <c r="K726" s="257">
        <f t="shared" si="629"/>
        <v>0</v>
      </c>
      <c r="L726" s="257">
        <f t="shared" si="629"/>
        <v>0</v>
      </c>
      <c r="M726" s="257">
        <v>0</v>
      </c>
      <c r="N726" s="257">
        <f>L726+M726</f>
        <v>0</v>
      </c>
      <c r="O726" s="257">
        <f t="shared" ref="O726" si="630">M726+N726</f>
        <v>0</v>
      </c>
    </row>
    <row r="727" spans="1:15" ht="58.5" customHeight="1" x14ac:dyDescent="0.2">
      <c r="A727" s="259" t="s">
        <v>1269</v>
      </c>
      <c r="B727" s="271">
        <v>801</v>
      </c>
      <c r="C727" s="252" t="s">
        <v>196</v>
      </c>
      <c r="D727" s="252" t="s">
        <v>198</v>
      </c>
      <c r="E727" s="252" t="s">
        <v>1270</v>
      </c>
      <c r="F727" s="252"/>
      <c r="G727" s="257">
        <v>230.1</v>
      </c>
      <c r="H727" s="257">
        <v>0</v>
      </c>
      <c r="I727" s="257">
        <v>230.1</v>
      </c>
      <c r="J727" s="257">
        <f t="shared" ref="J727" si="631">J728</f>
        <v>54.3</v>
      </c>
      <c r="K727" s="257">
        <f>L728</f>
        <v>284.39999999999998</v>
      </c>
      <c r="L727" s="257">
        <f>L728+L729</f>
        <v>284.39999999999998</v>
      </c>
      <c r="M727" s="257">
        <f t="shared" ref="M727:O727" si="632">M728+M729</f>
        <v>0</v>
      </c>
      <c r="N727" s="257">
        <f t="shared" si="632"/>
        <v>284.39999999999998</v>
      </c>
      <c r="O727" s="257">
        <f t="shared" si="632"/>
        <v>284.39999999999998</v>
      </c>
    </row>
    <row r="728" spans="1:15" ht="18" customHeight="1" x14ac:dyDescent="0.2">
      <c r="A728" s="259" t="s">
        <v>93</v>
      </c>
      <c r="B728" s="271">
        <v>801</v>
      </c>
      <c r="C728" s="252" t="s">
        <v>196</v>
      </c>
      <c r="D728" s="252" t="s">
        <v>198</v>
      </c>
      <c r="E728" s="252" t="s">
        <v>798</v>
      </c>
      <c r="F728" s="252" t="s">
        <v>94</v>
      </c>
      <c r="G728" s="257">
        <v>230.1</v>
      </c>
      <c r="H728" s="257">
        <v>0</v>
      </c>
      <c r="I728" s="257">
        <v>230.1</v>
      </c>
      <c r="J728" s="257">
        <v>54.3</v>
      </c>
      <c r="K728" s="257">
        <f t="shared" ref="K728" si="633">I728+J728</f>
        <v>284.39999999999998</v>
      </c>
      <c r="L728" s="257">
        <v>284.39999999999998</v>
      </c>
      <c r="M728" s="257">
        <v>-284.39999999999998</v>
      </c>
      <c r="N728" s="257">
        <f>L728+M728</f>
        <v>0</v>
      </c>
      <c r="O728" s="257">
        <v>0</v>
      </c>
    </row>
    <row r="729" spans="1:15" ht="18" customHeight="1" x14ac:dyDescent="0.2">
      <c r="A729" s="259" t="s">
        <v>93</v>
      </c>
      <c r="B729" s="271">
        <v>801</v>
      </c>
      <c r="C729" s="252" t="s">
        <v>196</v>
      </c>
      <c r="D729" s="252" t="s">
        <v>198</v>
      </c>
      <c r="E729" s="252" t="s">
        <v>1270</v>
      </c>
      <c r="F729" s="252" t="s">
        <v>94</v>
      </c>
      <c r="G729" s="257"/>
      <c r="H729" s="257"/>
      <c r="I729" s="257"/>
      <c r="J729" s="257"/>
      <c r="K729" s="257"/>
      <c r="L729" s="257">
        <v>0</v>
      </c>
      <c r="M729" s="257">
        <v>284.39999999999998</v>
      </c>
      <c r="N729" s="257">
        <f>L729+M729</f>
        <v>284.39999999999998</v>
      </c>
      <c r="O729" s="257">
        <v>284.39999999999998</v>
      </c>
    </row>
    <row r="730" spans="1:15" ht="32.25" customHeight="1" x14ac:dyDescent="0.2">
      <c r="A730" s="259" t="s">
        <v>1268</v>
      </c>
      <c r="B730" s="271">
        <v>801</v>
      </c>
      <c r="C730" s="252" t="s">
        <v>196</v>
      </c>
      <c r="D730" s="252" t="s">
        <v>198</v>
      </c>
      <c r="E730" s="252" t="s">
        <v>1267</v>
      </c>
      <c r="F730" s="252"/>
      <c r="G730" s="257">
        <v>241</v>
      </c>
      <c r="H730" s="257">
        <v>12.6</v>
      </c>
      <c r="I730" s="257">
        <v>253.6</v>
      </c>
      <c r="J730" s="257">
        <f t="shared" ref="J730" si="634">J731</f>
        <v>13.2</v>
      </c>
      <c r="K730" s="257">
        <f>L731</f>
        <v>177.4</v>
      </c>
      <c r="L730" s="257">
        <f>L731+L732</f>
        <v>177.4</v>
      </c>
      <c r="M730" s="257">
        <f t="shared" ref="M730:O730" si="635">M731+M732</f>
        <v>108.6</v>
      </c>
      <c r="N730" s="257">
        <f t="shared" si="635"/>
        <v>286</v>
      </c>
      <c r="O730" s="257">
        <f t="shared" si="635"/>
        <v>286</v>
      </c>
    </row>
    <row r="731" spans="1:15" ht="18.75" customHeight="1" x14ac:dyDescent="0.2">
      <c r="A731" s="259" t="s">
        <v>93</v>
      </c>
      <c r="B731" s="271">
        <v>801</v>
      </c>
      <c r="C731" s="252" t="s">
        <v>196</v>
      </c>
      <c r="D731" s="252" t="s">
        <v>198</v>
      </c>
      <c r="E731" s="252" t="s">
        <v>797</v>
      </c>
      <c r="F731" s="252" t="s">
        <v>94</v>
      </c>
      <c r="G731" s="257">
        <v>241</v>
      </c>
      <c r="H731" s="257">
        <v>12.6</v>
      </c>
      <c r="I731" s="257">
        <v>253.6</v>
      </c>
      <c r="J731" s="257">
        <v>13.2</v>
      </c>
      <c r="K731" s="257">
        <f t="shared" ref="K731:K734" si="636">I731+J731</f>
        <v>266.8</v>
      </c>
      <c r="L731" s="257">
        <v>177.4</v>
      </c>
      <c r="M731" s="257">
        <v>-177.4</v>
      </c>
      <c r="N731" s="257">
        <f>L731+M731</f>
        <v>0</v>
      </c>
      <c r="O731" s="257">
        <v>0</v>
      </c>
    </row>
    <row r="732" spans="1:15" ht="18.75" customHeight="1" x14ac:dyDescent="0.2">
      <c r="A732" s="259" t="s">
        <v>93</v>
      </c>
      <c r="B732" s="271">
        <v>801</v>
      </c>
      <c r="C732" s="252" t="s">
        <v>196</v>
      </c>
      <c r="D732" s="252" t="s">
        <v>198</v>
      </c>
      <c r="E732" s="252" t="s">
        <v>1267</v>
      </c>
      <c r="F732" s="252" t="s">
        <v>94</v>
      </c>
      <c r="G732" s="257"/>
      <c r="H732" s="257"/>
      <c r="I732" s="257"/>
      <c r="J732" s="257"/>
      <c r="K732" s="257"/>
      <c r="L732" s="257">
        <v>0</v>
      </c>
      <c r="M732" s="257">
        <v>286</v>
      </c>
      <c r="N732" s="257">
        <f>L732+M732</f>
        <v>286</v>
      </c>
      <c r="O732" s="257">
        <v>286</v>
      </c>
    </row>
    <row r="733" spans="1:15" ht="15.75" hidden="1" customHeight="1" x14ac:dyDescent="0.2">
      <c r="A733" s="378" t="s">
        <v>218</v>
      </c>
      <c r="B733" s="249">
        <v>801</v>
      </c>
      <c r="C733" s="250" t="s">
        <v>196</v>
      </c>
      <c r="D733" s="250" t="s">
        <v>200</v>
      </c>
      <c r="E733" s="250"/>
      <c r="F733" s="250"/>
      <c r="G733" s="257" t="e">
        <v>#REF!</v>
      </c>
      <c r="H733" s="257" t="e">
        <v>#REF!</v>
      </c>
      <c r="I733" s="275">
        <v>70636.399999999994</v>
      </c>
      <c r="J733" s="275">
        <f t="shared" ref="J733:N733" si="637">J734</f>
        <v>0</v>
      </c>
      <c r="K733" s="275">
        <f>L734</f>
        <v>0</v>
      </c>
      <c r="L733" s="275">
        <f>L734</f>
        <v>0</v>
      </c>
      <c r="M733" s="275">
        <f t="shared" si="637"/>
        <v>0</v>
      </c>
      <c r="N733" s="275">
        <f t="shared" si="637"/>
        <v>0</v>
      </c>
      <c r="O733" s="275">
        <f>O734</f>
        <v>0</v>
      </c>
    </row>
    <row r="734" spans="1:15" ht="32.25" hidden="1" customHeight="1" x14ac:dyDescent="0.2">
      <c r="A734" s="259" t="s">
        <v>1147</v>
      </c>
      <c r="B734" s="271">
        <v>801</v>
      </c>
      <c r="C734" s="252" t="s">
        <v>196</v>
      </c>
      <c r="D734" s="252" t="s">
        <v>200</v>
      </c>
      <c r="E734" s="252" t="s">
        <v>1177</v>
      </c>
      <c r="F734" s="252" t="s">
        <v>1067</v>
      </c>
      <c r="G734" s="257">
        <v>18</v>
      </c>
      <c r="H734" s="257">
        <v>29</v>
      </c>
      <c r="I734" s="257">
        <v>70636.399999999994</v>
      </c>
      <c r="J734" s="257">
        <v>0</v>
      </c>
      <c r="K734" s="257">
        <f t="shared" si="636"/>
        <v>70636.399999999994</v>
      </c>
      <c r="L734" s="257">
        <v>0</v>
      </c>
      <c r="M734" s="257">
        <v>0</v>
      </c>
      <c r="N734" s="257">
        <f>L734+M734</f>
        <v>0</v>
      </c>
      <c r="O734" s="257">
        <v>0</v>
      </c>
    </row>
    <row r="735" spans="1:15" ht="17.25" customHeight="1" x14ac:dyDescent="0.2">
      <c r="A735" s="462" t="s">
        <v>374</v>
      </c>
      <c r="B735" s="250" t="s">
        <v>146</v>
      </c>
      <c r="C735" s="250" t="s">
        <v>196</v>
      </c>
      <c r="D735" s="250" t="s">
        <v>212</v>
      </c>
      <c r="E735" s="250"/>
      <c r="F735" s="250"/>
      <c r="G735" s="275">
        <v>4489.8999999999996</v>
      </c>
      <c r="H735" s="275">
        <v>-4489.8999999999996</v>
      </c>
      <c r="I735" s="275">
        <v>9745.42</v>
      </c>
      <c r="J735" s="275">
        <f t="shared" ref="J735:O735" si="638">J736</f>
        <v>-101.99</v>
      </c>
      <c r="K735" s="275">
        <f>L736</f>
        <v>11053.27</v>
      </c>
      <c r="L735" s="275">
        <f t="shared" si="638"/>
        <v>11053.27</v>
      </c>
      <c r="M735" s="275">
        <f t="shared" si="638"/>
        <v>857.88</v>
      </c>
      <c r="N735" s="275">
        <f t="shared" si="638"/>
        <v>11911.15</v>
      </c>
      <c r="O735" s="275">
        <f t="shared" si="638"/>
        <v>12404.74</v>
      </c>
    </row>
    <row r="736" spans="1:15" ht="24" customHeight="1" x14ac:dyDescent="0.2">
      <c r="A736" s="259" t="s">
        <v>722</v>
      </c>
      <c r="B736" s="271">
        <v>801</v>
      </c>
      <c r="C736" s="252" t="s">
        <v>196</v>
      </c>
      <c r="D736" s="252" t="s">
        <v>212</v>
      </c>
      <c r="E736" s="252" t="s">
        <v>849</v>
      </c>
      <c r="F736" s="252"/>
      <c r="G736" s="257">
        <v>4489.8999999999996</v>
      </c>
      <c r="H736" s="257">
        <v>-4489.8999999999996</v>
      </c>
      <c r="I736" s="257">
        <v>9745.42</v>
      </c>
      <c r="J736" s="257">
        <f t="shared" ref="J736" si="639">J738+J737</f>
        <v>-101.99</v>
      </c>
      <c r="K736" s="257">
        <f>L738+L737</f>
        <v>11053.27</v>
      </c>
      <c r="L736" s="257">
        <f t="shared" ref="L736" si="640">L738+L737</f>
        <v>11053.27</v>
      </c>
      <c r="M736" s="257">
        <f t="shared" ref="M736:N736" si="641">M738+M737</f>
        <v>857.88</v>
      </c>
      <c r="N736" s="257">
        <f t="shared" si="641"/>
        <v>11911.15</v>
      </c>
      <c r="O736" s="257">
        <f t="shared" ref="O736" si="642">O738+O737</f>
        <v>12404.74</v>
      </c>
    </row>
    <row r="737" spans="1:15" ht="18" customHeight="1" x14ac:dyDescent="0.2">
      <c r="A737" s="259" t="s">
        <v>93</v>
      </c>
      <c r="B737" s="271">
        <v>801</v>
      </c>
      <c r="C737" s="252" t="s">
        <v>196</v>
      </c>
      <c r="D737" s="252" t="s">
        <v>212</v>
      </c>
      <c r="E737" s="252" t="s">
        <v>849</v>
      </c>
      <c r="F737" s="252" t="s">
        <v>94</v>
      </c>
      <c r="G737" s="257">
        <v>4489.8999999999996</v>
      </c>
      <c r="H737" s="257">
        <v>-4489.8999999999996</v>
      </c>
      <c r="I737" s="257">
        <v>9745.42</v>
      </c>
      <c r="J737" s="257">
        <v>-101.99</v>
      </c>
      <c r="K737" s="257">
        <f t="shared" ref="K737:L738" si="643">I737+J737</f>
        <v>9643.43</v>
      </c>
      <c r="L737" s="257">
        <v>11053.27</v>
      </c>
      <c r="M737" s="257">
        <v>857.88</v>
      </c>
      <c r="N737" s="257">
        <f>L737+M737</f>
        <v>11911.15</v>
      </c>
      <c r="O737" s="257">
        <v>12404.74</v>
      </c>
    </row>
    <row r="738" spans="1:15" ht="17.25" hidden="1" customHeight="1" x14ac:dyDescent="0.2">
      <c r="A738" s="259" t="s">
        <v>78</v>
      </c>
      <c r="B738" s="271">
        <v>801</v>
      </c>
      <c r="C738" s="252" t="s">
        <v>196</v>
      </c>
      <c r="D738" s="252" t="s">
        <v>212</v>
      </c>
      <c r="E738" s="252" t="s">
        <v>849</v>
      </c>
      <c r="F738" s="252" t="s">
        <v>79</v>
      </c>
      <c r="G738" s="257">
        <v>0</v>
      </c>
      <c r="H738" s="257">
        <v>0</v>
      </c>
      <c r="I738" s="257">
        <v>0</v>
      </c>
      <c r="J738" s="257">
        <f t="shared" ref="J738:L792" si="644">H738+I738</f>
        <v>0</v>
      </c>
      <c r="K738" s="257">
        <f t="shared" si="643"/>
        <v>0</v>
      </c>
      <c r="L738" s="257">
        <f t="shared" si="643"/>
        <v>0</v>
      </c>
      <c r="M738" s="257">
        <f>L738+L738</f>
        <v>0</v>
      </c>
      <c r="N738" s="257">
        <f>L738+M738</f>
        <v>0</v>
      </c>
      <c r="O738" s="257">
        <f t="shared" ref="O738" si="645">M738+N738</f>
        <v>0</v>
      </c>
    </row>
    <row r="739" spans="1:15" ht="18.75" customHeight="1" x14ac:dyDescent="0.2">
      <c r="A739" s="462" t="s">
        <v>220</v>
      </c>
      <c r="B739" s="250" t="s">
        <v>146</v>
      </c>
      <c r="C739" s="250" t="s">
        <v>196</v>
      </c>
      <c r="D739" s="250">
        <v>12</v>
      </c>
      <c r="E739" s="250"/>
      <c r="F739" s="250"/>
      <c r="G739" s="275">
        <v>5017</v>
      </c>
      <c r="H739" s="275">
        <v>480</v>
      </c>
      <c r="I739" s="275">
        <v>4467</v>
      </c>
      <c r="J739" s="275">
        <f>J744+J747+J750+J742+J749+J740</f>
        <v>1120</v>
      </c>
      <c r="K739" s="275">
        <f>L744+L747+L750+L742+L749+L740</f>
        <v>5587</v>
      </c>
      <c r="L739" s="275">
        <f t="shared" ref="L739" si="646">L744+L747+L750+L742+L749+L740</f>
        <v>5587</v>
      </c>
      <c r="M739" s="275">
        <f>M744+M747+M750+M742+M749+M740</f>
        <v>-90</v>
      </c>
      <c r="N739" s="275">
        <f t="shared" ref="N739:O739" si="647">N744+N747+N750+N742+N749+N740</f>
        <v>5497</v>
      </c>
      <c r="O739" s="275">
        <f t="shared" si="647"/>
        <v>5397</v>
      </c>
    </row>
    <row r="740" spans="1:15" ht="36.75" hidden="1" customHeight="1" x14ac:dyDescent="0.2">
      <c r="A740" s="259" t="s">
        <v>1040</v>
      </c>
      <c r="B740" s="271">
        <v>801</v>
      </c>
      <c r="C740" s="252" t="s">
        <v>196</v>
      </c>
      <c r="D740" s="252" t="s">
        <v>205</v>
      </c>
      <c r="E740" s="252" t="s">
        <v>834</v>
      </c>
      <c r="F740" s="252"/>
      <c r="G740" s="257">
        <v>0</v>
      </c>
      <c r="H740" s="257">
        <v>0</v>
      </c>
      <c r="I740" s="257">
        <v>0</v>
      </c>
      <c r="J740" s="257">
        <f t="shared" ref="J740:O740" si="648">J741</f>
        <v>0</v>
      </c>
      <c r="K740" s="257">
        <f>L741</f>
        <v>0</v>
      </c>
      <c r="L740" s="257">
        <f t="shared" si="648"/>
        <v>0</v>
      </c>
      <c r="M740" s="257">
        <f t="shared" si="648"/>
        <v>0</v>
      </c>
      <c r="N740" s="257">
        <f t="shared" si="648"/>
        <v>0</v>
      </c>
      <c r="O740" s="257">
        <f t="shared" si="648"/>
        <v>0</v>
      </c>
    </row>
    <row r="741" spans="1:15" ht="18.75" hidden="1" customHeight="1" x14ac:dyDescent="0.2">
      <c r="A741" s="259" t="s">
        <v>93</v>
      </c>
      <c r="B741" s="271">
        <v>801</v>
      </c>
      <c r="C741" s="252" t="s">
        <v>196</v>
      </c>
      <c r="D741" s="252" t="s">
        <v>205</v>
      </c>
      <c r="E741" s="252" t="s">
        <v>834</v>
      </c>
      <c r="F741" s="252" t="s">
        <v>94</v>
      </c>
      <c r="G741" s="257">
        <v>0</v>
      </c>
      <c r="H741" s="257">
        <v>0</v>
      </c>
      <c r="I741" s="257">
        <v>0</v>
      </c>
      <c r="J741" s="257">
        <v>0</v>
      </c>
      <c r="K741" s="257">
        <f t="shared" ref="K741:L741" si="649">I741+J741</f>
        <v>0</v>
      </c>
      <c r="L741" s="257">
        <f t="shared" si="649"/>
        <v>0</v>
      </c>
      <c r="M741" s="257">
        <v>0</v>
      </c>
      <c r="N741" s="257">
        <f>L741+M741</f>
        <v>0</v>
      </c>
      <c r="O741" s="257">
        <f t="shared" ref="O741" si="650">M741+N741</f>
        <v>0</v>
      </c>
    </row>
    <row r="742" spans="1:15" ht="56.25" hidden="1" customHeight="1" x14ac:dyDescent="0.2">
      <c r="A742" s="259" t="s">
        <v>951</v>
      </c>
      <c r="B742" s="252" t="s">
        <v>146</v>
      </c>
      <c r="C742" s="252" t="s">
        <v>196</v>
      </c>
      <c r="D742" s="252" t="s">
        <v>205</v>
      </c>
      <c r="E742" s="252" t="s">
        <v>950</v>
      </c>
      <c r="F742" s="252"/>
      <c r="G742" s="257">
        <v>0</v>
      </c>
      <c r="H742" s="257">
        <v>0</v>
      </c>
      <c r="I742" s="257">
        <v>0</v>
      </c>
      <c r="J742" s="257">
        <f t="shared" ref="J742:O742" si="651">J743</f>
        <v>0</v>
      </c>
      <c r="K742" s="257">
        <f>L743</f>
        <v>0</v>
      </c>
      <c r="L742" s="257">
        <f t="shared" si="651"/>
        <v>0</v>
      </c>
      <c r="M742" s="257">
        <f t="shared" si="651"/>
        <v>0</v>
      </c>
      <c r="N742" s="257">
        <f t="shared" si="651"/>
        <v>0</v>
      </c>
      <c r="O742" s="257">
        <f t="shared" si="651"/>
        <v>0</v>
      </c>
    </row>
    <row r="743" spans="1:15" ht="21.75" hidden="1" customHeight="1" x14ac:dyDescent="0.2">
      <c r="A743" s="259" t="s">
        <v>93</v>
      </c>
      <c r="B743" s="252" t="s">
        <v>146</v>
      </c>
      <c r="C743" s="252" t="s">
        <v>196</v>
      </c>
      <c r="D743" s="252" t="s">
        <v>205</v>
      </c>
      <c r="E743" s="252" t="s">
        <v>950</v>
      </c>
      <c r="F743" s="252" t="s">
        <v>94</v>
      </c>
      <c r="G743" s="257">
        <v>0</v>
      </c>
      <c r="H743" s="257">
        <v>0</v>
      </c>
      <c r="I743" s="257">
        <v>0</v>
      </c>
      <c r="J743" s="257">
        <f t="shared" si="644"/>
        <v>0</v>
      </c>
      <c r="K743" s="257">
        <f t="shared" si="644"/>
        <v>0</v>
      </c>
      <c r="L743" s="257">
        <f t="shared" si="644"/>
        <v>0</v>
      </c>
      <c r="M743" s="257">
        <f>L743+L743</f>
        <v>0</v>
      </c>
      <c r="N743" s="257">
        <f>L743+M743</f>
        <v>0</v>
      </c>
      <c r="O743" s="257">
        <f t="shared" ref="O743" si="652">M743+N743</f>
        <v>0</v>
      </c>
    </row>
    <row r="744" spans="1:15" ht="32.25" customHeight="1" x14ac:dyDescent="0.2">
      <c r="A744" s="259" t="s">
        <v>1006</v>
      </c>
      <c r="B744" s="252" t="s">
        <v>146</v>
      </c>
      <c r="C744" s="252" t="s">
        <v>196</v>
      </c>
      <c r="D744" s="252" t="s">
        <v>205</v>
      </c>
      <c r="E744" s="252" t="s">
        <v>824</v>
      </c>
      <c r="F744" s="252"/>
      <c r="G744" s="257">
        <v>440</v>
      </c>
      <c r="H744" s="257">
        <v>-40</v>
      </c>
      <c r="I744" s="257">
        <v>440</v>
      </c>
      <c r="J744" s="257">
        <f t="shared" ref="J744" si="653">J745+J746</f>
        <v>0</v>
      </c>
      <c r="K744" s="257">
        <f>L745+L746</f>
        <v>440</v>
      </c>
      <c r="L744" s="257">
        <f t="shared" ref="L744" si="654">L745+L746</f>
        <v>440</v>
      </c>
      <c r="M744" s="257">
        <f t="shared" ref="M744:N744" si="655">M745+M746</f>
        <v>-90</v>
      </c>
      <c r="N744" s="257">
        <f t="shared" si="655"/>
        <v>350</v>
      </c>
      <c r="O744" s="257">
        <f t="shared" ref="O744" si="656">O745+O746</f>
        <v>350</v>
      </c>
    </row>
    <row r="745" spans="1:15" ht="20.25" customHeight="1" x14ac:dyDescent="0.2">
      <c r="A745" s="259" t="s">
        <v>519</v>
      </c>
      <c r="B745" s="252" t="s">
        <v>146</v>
      </c>
      <c r="C745" s="252" t="s">
        <v>196</v>
      </c>
      <c r="D745" s="252" t="s">
        <v>205</v>
      </c>
      <c r="E745" s="252" t="s">
        <v>823</v>
      </c>
      <c r="F745" s="252" t="s">
        <v>94</v>
      </c>
      <c r="G745" s="257">
        <v>200</v>
      </c>
      <c r="H745" s="257">
        <v>0</v>
      </c>
      <c r="I745" s="257">
        <v>200</v>
      </c>
      <c r="J745" s="257">
        <v>0</v>
      </c>
      <c r="K745" s="257">
        <f t="shared" ref="K745:K746" si="657">I745+J745</f>
        <v>200</v>
      </c>
      <c r="L745" s="257">
        <v>200</v>
      </c>
      <c r="M745" s="257">
        <v>-50</v>
      </c>
      <c r="N745" s="257">
        <f>L745+M745</f>
        <v>150</v>
      </c>
      <c r="O745" s="257">
        <v>150</v>
      </c>
    </row>
    <row r="746" spans="1:15" ht="18.75" customHeight="1" x14ac:dyDescent="0.2">
      <c r="A746" s="259" t="s">
        <v>520</v>
      </c>
      <c r="B746" s="252" t="s">
        <v>146</v>
      </c>
      <c r="C746" s="252" t="s">
        <v>196</v>
      </c>
      <c r="D746" s="252" t="s">
        <v>205</v>
      </c>
      <c r="E746" s="252" t="s">
        <v>822</v>
      </c>
      <c r="F746" s="252" t="s">
        <v>94</v>
      </c>
      <c r="G746" s="257">
        <v>240</v>
      </c>
      <c r="H746" s="257">
        <v>-40</v>
      </c>
      <c r="I746" s="257">
        <v>240</v>
      </c>
      <c r="J746" s="257">
        <v>0</v>
      </c>
      <c r="K746" s="257">
        <f t="shared" si="657"/>
        <v>240</v>
      </c>
      <c r="L746" s="257">
        <v>240</v>
      </c>
      <c r="M746" s="257">
        <v>-40</v>
      </c>
      <c r="N746" s="257">
        <f>L746+M746</f>
        <v>200</v>
      </c>
      <c r="O746" s="257">
        <v>200</v>
      </c>
    </row>
    <row r="747" spans="1:15" ht="19.5" hidden="1" customHeight="1" x14ac:dyDescent="0.2">
      <c r="A747" s="259" t="s">
        <v>723</v>
      </c>
      <c r="B747" s="252" t="s">
        <v>146</v>
      </c>
      <c r="C747" s="252" t="s">
        <v>196</v>
      </c>
      <c r="D747" s="252" t="s">
        <v>205</v>
      </c>
      <c r="E747" s="252" t="s">
        <v>820</v>
      </c>
      <c r="F747" s="252"/>
      <c r="G747" s="257">
        <v>0</v>
      </c>
      <c r="H747" s="257">
        <v>0</v>
      </c>
      <c r="I747" s="257">
        <v>0</v>
      </c>
      <c r="J747" s="257">
        <f t="shared" ref="J747:O747" si="658">J748</f>
        <v>0</v>
      </c>
      <c r="K747" s="257">
        <f>L748</f>
        <v>0</v>
      </c>
      <c r="L747" s="257">
        <f t="shared" si="658"/>
        <v>0</v>
      </c>
      <c r="M747" s="257">
        <f t="shared" si="658"/>
        <v>0</v>
      </c>
      <c r="N747" s="257">
        <f t="shared" si="658"/>
        <v>0</v>
      </c>
      <c r="O747" s="257">
        <f t="shared" si="658"/>
        <v>0</v>
      </c>
    </row>
    <row r="748" spans="1:15" ht="18" hidden="1" customHeight="1" x14ac:dyDescent="0.2">
      <c r="A748" s="259" t="s">
        <v>93</v>
      </c>
      <c r="B748" s="252" t="s">
        <v>146</v>
      </c>
      <c r="C748" s="252" t="s">
        <v>196</v>
      </c>
      <c r="D748" s="252" t="s">
        <v>205</v>
      </c>
      <c r="E748" s="252" t="s">
        <v>820</v>
      </c>
      <c r="F748" s="252" t="s">
        <v>94</v>
      </c>
      <c r="G748" s="257">
        <v>0</v>
      </c>
      <c r="H748" s="257">
        <v>0</v>
      </c>
      <c r="I748" s="257">
        <v>0</v>
      </c>
      <c r="J748" s="257">
        <v>0</v>
      </c>
      <c r="K748" s="257">
        <f t="shared" ref="K748:L749" si="659">I748+J748</f>
        <v>0</v>
      </c>
      <c r="L748" s="257">
        <f t="shared" si="659"/>
        <v>0</v>
      </c>
      <c r="M748" s="257">
        <v>0</v>
      </c>
      <c r="N748" s="257">
        <f>L748+M748</f>
        <v>0</v>
      </c>
      <c r="O748" s="257">
        <f t="shared" ref="O748:O749" si="660">M748+N748</f>
        <v>0</v>
      </c>
    </row>
    <row r="749" spans="1:15" ht="18" hidden="1" customHeight="1" x14ac:dyDescent="0.2">
      <c r="A749" s="259"/>
      <c r="B749" s="252" t="s">
        <v>146</v>
      </c>
      <c r="C749" s="252" t="s">
        <v>196</v>
      </c>
      <c r="D749" s="252" t="s">
        <v>205</v>
      </c>
      <c r="E749" s="252" t="s">
        <v>1008</v>
      </c>
      <c r="F749" s="252" t="s">
        <v>94</v>
      </c>
      <c r="G749" s="257">
        <v>0</v>
      </c>
      <c r="H749" s="257">
        <v>0</v>
      </c>
      <c r="I749" s="257">
        <v>0</v>
      </c>
      <c r="J749" s="257">
        <f t="shared" ref="J749" si="661">H749+I749</f>
        <v>0</v>
      </c>
      <c r="K749" s="257">
        <f t="shared" si="659"/>
        <v>0</v>
      </c>
      <c r="L749" s="257">
        <f t="shared" si="659"/>
        <v>0</v>
      </c>
      <c r="M749" s="257">
        <f>L749+L749</f>
        <v>0</v>
      </c>
      <c r="N749" s="257">
        <f>L749+M749</f>
        <v>0</v>
      </c>
      <c r="O749" s="257">
        <f t="shared" si="660"/>
        <v>0</v>
      </c>
    </row>
    <row r="750" spans="1:15" ht="21" customHeight="1" x14ac:dyDescent="0.2">
      <c r="A750" s="462" t="s">
        <v>1100</v>
      </c>
      <c r="B750" s="250" t="s">
        <v>146</v>
      </c>
      <c r="C750" s="250" t="s">
        <v>196</v>
      </c>
      <c r="D750" s="250" t="s">
        <v>205</v>
      </c>
      <c r="E750" s="250" t="s">
        <v>819</v>
      </c>
      <c r="F750" s="252"/>
      <c r="G750" s="275">
        <v>4577</v>
      </c>
      <c r="H750" s="275">
        <v>520</v>
      </c>
      <c r="I750" s="275">
        <v>4027</v>
      </c>
      <c r="J750" s="275">
        <f t="shared" ref="J750" si="662">J751+J752+J753+J754+J755+J756+J757+J760</f>
        <v>1120</v>
      </c>
      <c r="K750" s="275">
        <f>L751+L752+L753+L754+L755+L756+L757+L760</f>
        <v>5147</v>
      </c>
      <c r="L750" s="275">
        <f t="shared" ref="L750" si="663">L751+L752+L753+L754+L755+L756+L757+L760</f>
        <v>5147</v>
      </c>
      <c r="M750" s="275">
        <f t="shared" ref="M750:N750" si="664">M751+M752+M753+M754+M755+M756+M757+M760</f>
        <v>0</v>
      </c>
      <c r="N750" s="275">
        <f t="shared" si="664"/>
        <v>5147</v>
      </c>
      <c r="O750" s="275">
        <f t="shared" ref="O750" si="665">O751+O752+O753+O754+O755+O756+O757+O760</f>
        <v>5047</v>
      </c>
    </row>
    <row r="751" spans="1:15" ht="18.75" customHeight="1" x14ac:dyDescent="0.2">
      <c r="A751" s="259" t="s">
        <v>897</v>
      </c>
      <c r="B751" s="252" t="s">
        <v>146</v>
      </c>
      <c r="C751" s="252" t="s">
        <v>196</v>
      </c>
      <c r="D751" s="252" t="s">
        <v>205</v>
      </c>
      <c r="E751" s="252" t="s">
        <v>819</v>
      </c>
      <c r="F751" s="252" t="s">
        <v>832</v>
      </c>
      <c r="G751" s="257">
        <v>2097</v>
      </c>
      <c r="H751" s="257">
        <v>439</v>
      </c>
      <c r="I751" s="257">
        <v>2097</v>
      </c>
      <c r="J751" s="257">
        <v>858</v>
      </c>
      <c r="K751" s="257">
        <f>I751+J751</f>
        <v>2955</v>
      </c>
      <c r="L751" s="257">
        <v>2955</v>
      </c>
      <c r="M751" s="257">
        <v>0</v>
      </c>
      <c r="N751" s="257">
        <f t="shared" ref="N751:N761" si="666">L751+M751</f>
        <v>2955</v>
      </c>
      <c r="O751" s="257">
        <v>2955</v>
      </c>
    </row>
    <row r="752" spans="1:15" ht="29.25" customHeight="1" x14ac:dyDescent="0.2">
      <c r="A752" s="375" t="s">
        <v>900</v>
      </c>
      <c r="B752" s="252" t="s">
        <v>146</v>
      </c>
      <c r="C752" s="252" t="s">
        <v>196</v>
      </c>
      <c r="D752" s="252" t="s">
        <v>205</v>
      </c>
      <c r="E752" s="252" t="s">
        <v>819</v>
      </c>
      <c r="F752" s="252" t="s">
        <v>899</v>
      </c>
      <c r="G752" s="257">
        <v>630</v>
      </c>
      <c r="H752" s="257">
        <v>133</v>
      </c>
      <c r="I752" s="257">
        <v>630</v>
      </c>
      <c r="J752" s="257">
        <v>262</v>
      </c>
      <c r="K752" s="257">
        <f t="shared" ref="K752:L761" si="667">I752+J752</f>
        <v>892</v>
      </c>
      <c r="L752" s="257">
        <v>892</v>
      </c>
      <c r="M752" s="257">
        <v>0</v>
      </c>
      <c r="N752" s="257">
        <f t="shared" si="666"/>
        <v>892</v>
      </c>
      <c r="O752" s="257">
        <v>892</v>
      </c>
    </row>
    <row r="753" spans="1:15" ht="18.75" hidden="1" customHeight="1" x14ac:dyDescent="0.2">
      <c r="A753" s="259" t="s">
        <v>897</v>
      </c>
      <c r="B753" s="252" t="s">
        <v>146</v>
      </c>
      <c r="C753" s="252" t="s">
        <v>196</v>
      </c>
      <c r="D753" s="252" t="s">
        <v>205</v>
      </c>
      <c r="E753" s="252" t="s">
        <v>1101</v>
      </c>
      <c r="F753" s="252" t="s">
        <v>832</v>
      </c>
      <c r="G753" s="257">
        <v>420</v>
      </c>
      <c r="H753" s="257">
        <v>0</v>
      </c>
      <c r="I753" s="257">
        <v>0</v>
      </c>
      <c r="J753" s="257">
        <v>0</v>
      </c>
      <c r="K753" s="257">
        <f t="shared" si="667"/>
        <v>0</v>
      </c>
      <c r="L753" s="257">
        <v>0</v>
      </c>
      <c r="M753" s="257">
        <v>0</v>
      </c>
      <c r="N753" s="257">
        <f t="shared" si="666"/>
        <v>0</v>
      </c>
      <c r="O753" s="257">
        <v>0</v>
      </c>
    </row>
    <row r="754" spans="1:15" ht="30" hidden="1" customHeight="1" x14ac:dyDescent="0.2">
      <c r="A754" s="375" t="s">
        <v>900</v>
      </c>
      <c r="B754" s="252" t="s">
        <v>146</v>
      </c>
      <c r="C754" s="252" t="s">
        <v>196</v>
      </c>
      <c r="D754" s="252" t="s">
        <v>205</v>
      </c>
      <c r="E754" s="252" t="s">
        <v>1101</v>
      </c>
      <c r="F754" s="252" t="s">
        <v>899</v>
      </c>
      <c r="G754" s="257">
        <v>130</v>
      </c>
      <c r="H754" s="257">
        <v>0</v>
      </c>
      <c r="I754" s="257">
        <v>0</v>
      </c>
      <c r="J754" s="257">
        <v>0</v>
      </c>
      <c r="K754" s="257">
        <f t="shared" si="667"/>
        <v>0</v>
      </c>
      <c r="L754" s="257">
        <v>0</v>
      </c>
      <c r="M754" s="257">
        <v>0</v>
      </c>
      <c r="N754" s="257">
        <f t="shared" si="666"/>
        <v>0</v>
      </c>
      <c r="O754" s="257">
        <v>0</v>
      </c>
    </row>
    <row r="755" spans="1:15" ht="20.25" customHeight="1" x14ac:dyDescent="0.2">
      <c r="A755" s="259" t="s">
        <v>952</v>
      </c>
      <c r="B755" s="252" t="s">
        <v>146</v>
      </c>
      <c r="C755" s="252" t="s">
        <v>196</v>
      </c>
      <c r="D755" s="252" t="s">
        <v>205</v>
      </c>
      <c r="E755" s="252" t="s">
        <v>819</v>
      </c>
      <c r="F755" s="252" t="s">
        <v>919</v>
      </c>
      <c r="G755" s="257">
        <v>18</v>
      </c>
      <c r="H755" s="257">
        <v>0</v>
      </c>
      <c r="I755" s="257">
        <v>18</v>
      </c>
      <c r="J755" s="257">
        <v>0</v>
      </c>
      <c r="K755" s="257">
        <f t="shared" si="667"/>
        <v>18</v>
      </c>
      <c r="L755" s="257">
        <v>18</v>
      </c>
      <c r="M755" s="257">
        <v>0</v>
      </c>
      <c r="N755" s="257">
        <f t="shared" si="666"/>
        <v>18</v>
      </c>
      <c r="O755" s="257">
        <v>18</v>
      </c>
    </row>
    <row r="756" spans="1:15" ht="19.5" hidden="1" customHeight="1" x14ac:dyDescent="0.2">
      <c r="A756" s="259" t="s">
        <v>99</v>
      </c>
      <c r="B756" s="252" t="s">
        <v>146</v>
      </c>
      <c r="C756" s="252" t="s">
        <v>196</v>
      </c>
      <c r="D756" s="252" t="s">
        <v>205</v>
      </c>
      <c r="E756" s="252" t="s">
        <v>819</v>
      </c>
      <c r="F756" s="252" t="s">
        <v>100</v>
      </c>
      <c r="G756" s="257">
        <v>30</v>
      </c>
      <c r="H756" s="257">
        <v>0</v>
      </c>
      <c r="I756" s="257">
        <v>30</v>
      </c>
      <c r="J756" s="257">
        <v>-30</v>
      </c>
      <c r="K756" s="257">
        <f t="shared" si="667"/>
        <v>0</v>
      </c>
      <c r="L756" s="257">
        <v>0</v>
      </c>
      <c r="M756" s="257">
        <v>0</v>
      </c>
      <c r="N756" s="257">
        <f t="shared" si="666"/>
        <v>0</v>
      </c>
      <c r="O756" s="257">
        <v>0</v>
      </c>
    </row>
    <row r="757" spans="1:15" ht="19.5" customHeight="1" x14ac:dyDescent="0.2">
      <c r="A757" s="259" t="s">
        <v>93</v>
      </c>
      <c r="B757" s="252" t="s">
        <v>146</v>
      </c>
      <c r="C757" s="252" t="s">
        <v>196</v>
      </c>
      <c r="D757" s="252" t="s">
        <v>205</v>
      </c>
      <c r="E757" s="252" t="s">
        <v>819</v>
      </c>
      <c r="F757" s="252" t="s">
        <v>94</v>
      </c>
      <c r="G757" s="257">
        <v>252</v>
      </c>
      <c r="H757" s="257">
        <v>-52</v>
      </c>
      <c r="I757" s="257">
        <v>252</v>
      </c>
      <c r="J757" s="257">
        <v>30</v>
      </c>
      <c r="K757" s="257">
        <f t="shared" si="667"/>
        <v>282</v>
      </c>
      <c r="L757" s="257">
        <v>282</v>
      </c>
      <c r="M757" s="257">
        <v>0</v>
      </c>
      <c r="N757" s="257">
        <f t="shared" si="666"/>
        <v>282</v>
      </c>
      <c r="O757" s="257">
        <v>282</v>
      </c>
    </row>
    <row r="758" spans="1:15" ht="19.5" hidden="1" customHeight="1" x14ac:dyDescent="0.2">
      <c r="A758" s="259" t="s">
        <v>103</v>
      </c>
      <c r="B758" s="252" t="s">
        <v>146</v>
      </c>
      <c r="C758" s="252" t="s">
        <v>196</v>
      </c>
      <c r="D758" s="252" t="s">
        <v>205</v>
      </c>
      <c r="E758" s="252" t="s">
        <v>819</v>
      </c>
      <c r="F758" s="252" t="s">
        <v>104</v>
      </c>
      <c r="G758" s="257">
        <v>0</v>
      </c>
      <c r="H758" s="257">
        <v>0</v>
      </c>
      <c r="I758" s="257">
        <v>0</v>
      </c>
      <c r="J758" s="257">
        <v>0</v>
      </c>
      <c r="K758" s="257">
        <f t="shared" si="667"/>
        <v>0</v>
      </c>
      <c r="L758" s="257">
        <v>0</v>
      </c>
      <c r="M758" s="257">
        <v>0</v>
      </c>
      <c r="N758" s="257">
        <f t="shared" si="666"/>
        <v>0</v>
      </c>
      <c r="O758" s="257">
        <v>0</v>
      </c>
    </row>
    <row r="759" spans="1:15" ht="19.5" hidden="1" customHeight="1" x14ac:dyDescent="0.2">
      <c r="A759" s="259" t="s">
        <v>920</v>
      </c>
      <c r="B759" s="252" t="s">
        <v>146</v>
      </c>
      <c r="C759" s="252" t="s">
        <v>196</v>
      </c>
      <c r="D759" s="252" t="s">
        <v>205</v>
      </c>
      <c r="E759" s="252" t="s">
        <v>819</v>
      </c>
      <c r="F759" s="252" t="s">
        <v>905</v>
      </c>
      <c r="G759" s="257">
        <v>0</v>
      </c>
      <c r="H759" s="257">
        <v>0</v>
      </c>
      <c r="I759" s="257">
        <v>0</v>
      </c>
      <c r="J759" s="257">
        <v>0</v>
      </c>
      <c r="K759" s="257">
        <f t="shared" si="667"/>
        <v>0</v>
      </c>
      <c r="L759" s="257">
        <v>0</v>
      </c>
      <c r="M759" s="257">
        <v>0</v>
      </c>
      <c r="N759" s="257">
        <f t="shared" si="666"/>
        <v>0</v>
      </c>
      <c r="O759" s="257">
        <v>0</v>
      </c>
    </row>
    <row r="760" spans="1:15" ht="18" customHeight="1" x14ac:dyDescent="0.2">
      <c r="A760" s="259" t="s">
        <v>521</v>
      </c>
      <c r="B760" s="252" t="s">
        <v>146</v>
      </c>
      <c r="C760" s="252" t="s">
        <v>196</v>
      </c>
      <c r="D760" s="252" t="s">
        <v>205</v>
      </c>
      <c r="E760" s="252" t="s">
        <v>821</v>
      </c>
      <c r="F760" s="252" t="s">
        <v>94</v>
      </c>
      <c r="G760" s="257">
        <v>1000</v>
      </c>
      <c r="H760" s="257">
        <v>0</v>
      </c>
      <c r="I760" s="257">
        <v>1000</v>
      </c>
      <c r="J760" s="257">
        <v>0</v>
      </c>
      <c r="K760" s="257">
        <f t="shared" si="667"/>
        <v>1000</v>
      </c>
      <c r="L760" s="257">
        <v>1000</v>
      </c>
      <c r="M760" s="257">
        <v>0</v>
      </c>
      <c r="N760" s="257">
        <f t="shared" si="666"/>
        <v>1000</v>
      </c>
      <c r="O760" s="257">
        <v>900</v>
      </c>
    </row>
    <row r="761" spans="1:15" ht="31.5" hidden="1" customHeight="1" x14ac:dyDescent="0.2">
      <c r="A761" s="259" t="s">
        <v>76</v>
      </c>
      <c r="B761" s="252" t="s">
        <v>146</v>
      </c>
      <c r="C761" s="252" t="s">
        <v>196</v>
      </c>
      <c r="D761" s="252" t="s">
        <v>205</v>
      </c>
      <c r="E761" s="252" t="s">
        <v>819</v>
      </c>
      <c r="F761" s="252" t="s">
        <v>77</v>
      </c>
      <c r="G761" s="257">
        <v>0</v>
      </c>
      <c r="H761" s="257">
        <v>0</v>
      </c>
      <c r="I761" s="257">
        <v>0</v>
      </c>
      <c r="J761" s="257">
        <v>0</v>
      </c>
      <c r="K761" s="257">
        <f t="shared" si="667"/>
        <v>0</v>
      </c>
      <c r="L761" s="257">
        <f t="shared" si="667"/>
        <v>0</v>
      </c>
      <c r="M761" s="257">
        <v>0</v>
      </c>
      <c r="N761" s="257">
        <f t="shared" si="666"/>
        <v>0</v>
      </c>
      <c r="O761" s="257">
        <f t="shared" ref="O761" si="668">M761+N761</f>
        <v>0</v>
      </c>
    </row>
    <row r="762" spans="1:15" s="430" customFormat="1" ht="14.25" x14ac:dyDescent="0.2">
      <c r="A762" s="462" t="s">
        <v>367</v>
      </c>
      <c r="B762" s="250" t="s">
        <v>146</v>
      </c>
      <c r="C762" s="250" t="s">
        <v>198</v>
      </c>
      <c r="D762" s="250"/>
      <c r="E762" s="250"/>
      <c r="F762" s="250"/>
      <c r="G762" s="275">
        <v>52605.35</v>
      </c>
      <c r="H762" s="275">
        <v>4274.9800000000032</v>
      </c>
      <c r="I762" s="275">
        <v>32787.719000000005</v>
      </c>
      <c r="J762" s="275">
        <f t="shared" ref="J762" si="669">J763+J772+J795+J813</f>
        <v>-8588.92</v>
      </c>
      <c r="K762" s="275">
        <f>L763+L772+L795+L813</f>
        <v>30993.1</v>
      </c>
      <c r="L762" s="275">
        <f>L772</f>
        <v>30993.1</v>
      </c>
      <c r="M762" s="275">
        <f t="shared" ref="M762:O762" si="670">M772</f>
        <v>13638.8</v>
      </c>
      <c r="N762" s="275">
        <f t="shared" si="670"/>
        <v>44631.899999999994</v>
      </c>
      <c r="O762" s="275">
        <f t="shared" si="670"/>
        <v>44631.899999999994</v>
      </c>
    </row>
    <row r="763" spans="1:15" s="430" customFormat="1" ht="14.25" hidden="1" x14ac:dyDescent="0.2">
      <c r="A763" s="462" t="s">
        <v>222</v>
      </c>
      <c r="B763" s="250" t="s">
        <v>146</v>
      </c>
      <c r="C763" s="250" t="s">
        <v>198</v>
      </c>
      <c r="D763" s="250" t="s">
        <v>190</v>
      </c>
      <c r="E763" s="250"/>
      <c r="F763" s="250"/>
      <c r="G763" s="275">
        <v>25</v>
      </c>
      <c r="H763" s="275">
        <v>31373.18</v>
      </c>
      <c r="I763" s="275">
        <v>0</v>
      </c>
      <c r="J763" s="275">
        <f t="shared" ref="J763" si="671">J767+J769+J764</f>
        <v>0</v>
      </c>
      <c r="K763" s="275">
        <f>L767+L769+L764</f>
        <v>0</v>
      </c>
      <c r="L763" s="275">
        <f t="shared" ref="L763" si="672">L767+L769+L764</f>
        <v>0</v>
      </c>
      <c r="M763" s="275">
        <f t="shared" ref="M763:N763" si="673">M767+M769+M764</f>
        <v>0</v>
      </c>
      <c r="N763" s="275">
        <f t="shared" si="673"/>
        <v>0</v>
      </c>
      <c r="O763" s="275">
        <f t="shared" ref="O763" si="674">O767+O769+O764</f>
        <v>0</v>
      </c>
    </row>
    <row r="764" spans="1:15" ht="30" hidden="1" x14ac:dyDescent="0.2">
      <c r="A764" s="259" t="s">
        <v>1128</v>
      </c>
      <c r="B764" s="252" t="s">
        <v>146</v>
      </c>
      <c r="C764" s="252" t="s">
        <v>198</v>
      </c>
      <c r="D764" s="252" t="s">
        <v>190</v>
      </c>
      <c r="E764" s="252" t="s">
        <v>1126</v>
      </c>
      <c r="F764" s="252"/>
      <c r="G764" s="257">
        <v>25</v>
      </c>
      <c r="H764" s="257">
        <v>31373.18</v>
      </c>
      <c r="I764" s="257">
        <v>0</v>
      </c>
      <c r="J764" s="257">
        <f t="shared" ref="J764" si="675">J766+J771+J765</f>
        <v>0</v>
      </c>
      <c r="K764" s="257">
        <f>L766+L771+L765</f>
        <v>0</v>
      </c>
      <c r="L764" s="257">
        <f t="shared" ref="L764" si="676">L766+L771+L765</f>
        <v>0</v>
      </c>
      <c r="M764" s="257">
        <f t="shared" ref="M764:N764" si="677">M766+M771+M765</f>
        <v>0</v>
      </c>
      <c r="N764" s="257">
        <f t="shared" si="677"/>
        <v>0</v>
      </c>
      <c r="O764" s="257">
        <f t="shared" ref="O764" si="678">O766+O771+O765</f>
        <v>0</v>
      </c>
    </row>
    <row r="765" spans="1:15" ht="45" hidden="1" x14ac:dyDescent="0.2">
      <c r="A765" s="259" t="s">
        <v>1146</v>
      </c>
      <c r="B765" s="252" t="s">
        <v>146</v>
      </c>
      <c r="C765" s="252" t="s">
        <v>198</v>
      </c>
      <c r="D765" s="252" t="s">
        <v>190</v>
      </c>
      <c r="E765" s="252" t="s">
        <v>1144</v>
      </c>
      <c r="F765" s="252" t="s">
        <v>886</v>
      </c>
      <c r="G765" s="257">
        <v>0</v>
      </c>
      <c r="H765" s="257">
        <v>24698.1</v>
      </c>
      <c r="I765" s="257">
        <v>0</v>
      </c>
      <c r="J765" s="257">
        <v>0</v>
      </c>
      <c r="K765" s="257">
        <f t="shared" ref="K765:K766" si="679">I765+J765</f>
        <v>0</v>
      </c>
      <c r="L765" s="257">
        <v>0</v>
      </c>
      <c r="M765" s="257">
        <v>0</v>
      </c>
      <c r="N765" s="257">
        <f>L765+M765</f>
        <v>0</v>
      </c>
      <c r="O765" s="257">
        <v>0</v>
      </c>
    </row>
    <row r="766" spans="1:15" ht="45" hidden="1" x14ac:dyDescent="0.2">
      <c r="A766" s="259" t="s">
        <v>1145</v>
      </c>
      <c r="B766" s="252" t="s">
        <v>146</v>
      </c>
      <c r="C766" s="252" t="s">
        <v>198</v>
      </c>
      <c r="D766" s="252" t="s">
        <v>190</v>
      </c>
      <c r="E766" s="252" t="s">
        <v>1126</v>
      </c>
      <c r="F766" s="252" t="s">
        <v>886</v>
      </c>
      <c r="G766" s="257">
        <v>25</v>
      </c>
      <c r="H766" s="257">
        <v>6361.1</v>
      </c>
      <c r="I766" s="257">
        <v>0</v>
      </c>
      <c r="J766" s="257">
        <v>0</v>
      </c>
      <c r="K766" s="257">
        <f t="shared" si="679"/>
        <v>0</v>
      </c>
      <c r="L766" s="257">
        <v>0</v>
      </c>
      <c r="M766" s="257">
        <v>0</v>
      </c>
      <c r="N766" s="257">
        <f>L766+M766</f>
        <v>0</v>
      </c>
      <c r="O766" s="257">
        <v>0</v>
      </c>
    </row>
    <row r="767" spans="1:15" s="430" customFormat="1" ht="48" hidden="1" customHeight="1" x14ac:dyDescent="0.2">
      <c r="A767" s="259" t="s">
        <v>885</v>
      </c>
      <c r="B767" s="252" t="s">
        <v>146</v>
      </c>
      <c r="C767" s="252" t="s">
        <v>198</v>
      </c>
      <c r="D767" s="252" t="s">
        <v>190</v>
      </c>
      <c r="E767" s="252" t="s">
        <v>1122</v>
      </c>
      <c r="F767" s="252"/>
      <c r="G767" s="257">
        <v>0</v>
      </c>
      <c r="H767" s="257">
        <v>0</v>
      </c>
      <c r="I767" s="257">
        <v>0</v>
      </c>
      <c r="J767" s="257">
        <f t="shared" ref="J767:O767" si="680">J768</f>
        <v>0</v>
      </c>
      <c r="K767" s="257">
        <f>L768</f>
        <v>0</v>
      </c>
      <c r="L767" s="257">
        <f t="shared" si="680"/>
        <v>0</v>
      </c>
      <c r="M767" s="257">
        <f t="shared" si="680"/>
        <v>0</v>
      </c>
      <c r="N767" s="257">
        <f t="shared" si="680"/>
        <v>0</v>
      </c>
      <c r="O767" s="257">
        <f t="shared" si="680"/>
        <v>0</v>
      </c>
    </row>
    <row r="768" spans="1:15" s="430" customFormat="1" ht="30" hidden="1" x14ac:dyDescent="0.2">
      <c r="A768" s="259" t="s">
        <v>885</v>
      </c>
      <c r="B768" s="252" t="s">
        <v>146</v>
      </c>
      <c r="C768" s="252" t="s">
        <v>198</v>
      </c>
      <c r="D768" s="252" t="s">
        <v>190</v>
      </c>
      <c r="E768" s="252" t="s">
        <v>1123</v>
      </c>
      <c r="F768" s="252" t="s">
        <v>886</v>
      </c>
      <c r="G768" s="257">
        <v>0</v>
      </c>
      <c r="H768" s="257">
        <v>0</v>
      </c>
      <c r="I768" s="257">
        <v>0</v>
      </c>
      <c r="J768" s="257">
        <f t="shared" si="644"/>
        <v>0</v>
      </c>
      <c r="K768" s="257">
        <f t="shared" si="644"/>
        <v>0</v>
      </c>
      <c r="L768" s="257">
        <f t="shared" si="644"/>
        <v>0</v>
      </c>
      <c r="M768" s="257">
        <f>L768+L768</f>
        <v>0</v>
      </c>
      <c r="N768" s="257">
        <f>L768+M768</f>
        <v>0</v>
      </c>
      <c r="O768" s="257">
        <f t="shared" ref="O768" si="681">M768+N768</f>
        <v>0</v>
      </c>
    </row>
    <row r="769" spans="1:15" s="430" customFormat="1" ht="30" hidden="1" x14ac:dyDescent="0.2">
      <c r="A769" s="259" t="s">
        <v>885</v>
      </c>
      <c r="B769" s="252" t="s">
        <v>146</v>
      </c>
      <c r="C769" s="252" t="s">
        <v>198</v>
      </c>
      <c r="D769" s="252" t="s">
        <v>190</v>
      </c>
      <c r="E769" s="252" t="s">
        <v>1124</v>
      </c>
      <c r="F769" s="252"/>
      <c r="G769" s="257">
        <v>0</v>
      </c>
      <c r="H769" s="257">
        <v>0</v>
      </c>
      <c r="I769" s="257">
        <v>0</v>
      </c>
      <c r="J769" s="257">
        <f t="shared" ref="J769:O769" si="682">J770</f>
        <v>0</v>
      </c>
      <c r="K769" s="257">
        <f>L770</f>
        <v>0</v>
      </c>
      <c r="L769" s="257">
        <f t="shared" si="682"/>
        <v>0</v>
      </c>
      <c r="M769" s="257">
        <f t="shared" si="682"/>
        <v>0</v>
      </c>
      <c r="N769" s="257">
        <f t="shared" si="682"/>
        <v>0</v>
      </c>
      <c r="O769" s="257">
        <f t="shared" si="682"/>
        <v>0</v>
      </c>
    </row>
    <row r="770" spans="1:15" s="430" customFormat="1" ht="30" hidden="1" x14ac:dyDescent="0.2">
      <c r="A770" s="259" t="s">
        <v>885</v>
      </c>
      <c r="B770" s="252" t="s">
        <v>146</v>
      </c>
      <c r="C770" s="252" t="s">
        <v>198</v>
      </c>
      <c r="D770" s="252" t="s">
        <v>190</v>
      </c>
      <c r="E770" s="252" t="s">
        <v>1125</v>
      </c>
      <c r="F770" s="252" t="s">
        <v>886</v>
      </c>
      <c r="G770" s="257">
        <v>0</v>
      </c>
      <c r="H770" s="257">
        <v>0</v>
      </c>
      <c r="I770" s="257">
        <v>0</v>
      </c>
      <c r="J770" s="257">
        <f t="shared" si="644"/>
        <v>0</v>
      </c>
      <c r="K770" s="257">
        <f t="shared" si="644"/>
        <v>0</v>
      </c>
      <c r="L770" s="257">
        <f t="shared" si="644"/>
        <v>0</v>
      </c>
      <c r="M770" s="257">
        <f>L770+L770</f>
        <v>0</v>
      </c>
      <c r="N770" s="257">
        <f>L770+M770</f>
        <v>0</v>
      </c>
      <c r="O770" s="257">
        <f t="shared" ref="O770" si="683">M770+N770</f>
        <v>0</v>
      </c>
    </row>
    <row r="771" spans="1:15" s="430" customFormat="1" ht="30" hidden="1" x14ac:dyDescent="0.2">
      <c r="A771" s="259" t="s">
        <v>1129</v>
      </c>
      <c r="B771" s="252"/>
      <c r="C771" s="252"/>
      <c r="D771" s="252"/>
      <c r="E771" s="252" t="s">
        <v>1127</v>
      </c>
      <c r="F771" s="252" t="s">
        <v>886</v>
      </c>
      <c r="G771" s="257">
        <v>0</v>
      </c>
      <c r="H771" s="257">
        <v>313.98</v>
      </c>
      <c r="I771" s="257">
        <v>0</v>
      </c>
      <c r="J771" s="257">
        <v>0</v>
      </c>
      <c r="K771" s="257">
        <f>I771+J771</f>
        <v>0</v>
      </c>
      <c r="L771" s="257">
        <v>0</v>
      </c>
      <c r="M771" s="257">
        <v>0</v>
      </c>
      <c r="N771" s="257">
        <f>L771+M771</f>
        <v>0</v>
      </c>
      <c r="O771" s="257">
        <v>0</v>
      </c>
    </row>
    <row r="772" spans="1:15" ht="14.25" x14ac:dyDescent="0.2">
      <c r="A772" s="462" t="s">
        <v>223</v>
      </c>
      <c r="B772" s="250" t="s">
        <v>146</v>
      </c>
      <c r="C772" s="250" t="s">
        <v>198</v>
      </c>
      <c r="D772" s="250" t="s">
        <v>192</v>
      </c>
      <c r="E772" s="250"/>
      <c r="F772" s="250"/>
      <c r="G772" s="275">
        <v>52580.35</v>
      </c>
      <c r="H772" s="275">
        <v>-27098.199999999997</v>
      </c>
      <c r="I772" s="275">
        <v>32787.719000000005</v>
      </c>
      <c r="J772" s="275">
        <f t="shared" ref="J772" si="684">J773</f>
        <v>-8588.92</v>
      </c>
      <c r="K772" s="275">
        <f>L773</f>
        <v>30993.1</v>
      </c>
      <c r="L772" s="275">
        <f>L773</f>
        <v>30993.1</v>
      </c>
      <c r="M772" s="275">
        <f t="shared" ref="M772" si="685">M773</f>
        <v>13638.8</v>
      </c>
      <c r="N772" s="275">
        <f>N773</f>
        <v>44631.899999999994</v>
      </c>
      <c r="O772" s="275">
        <f>O773</f>
        <v>44631.899999999994</v>
      </c>
    </row>
    <row r="773" spans="1:15" ht="38.25" customHeight="1" x14ac:dyDescent="0.2">
      <c r="A773" s="259" t="s">
        <v>984</v>
      </c>
      <c r="B773" s="252" t="s">
        <v>146</v>
      </c>
      <c r="C773" s="252" t="s">
        <v>198</v>
      </c>
      <c r="D773" s="252" t="s">
        <v>192</v>
      </c>
      <c r="E773" s="252" t="s">
        <v>816</v>
      </c>
      <c r="F773" s="250"/>
      <c r="G773" s="257">
        <v>52580.35</v>
      </c>
      <c r="H773" s="257">
        <v>-27098.199999999997</v>
      </c>
      <c r="I773" s="257">
        <v>32787.719000000005</v>
      </c>
      <c r="J773" s="257">
        <f t="shared" ref="J773" si="686">J774+J778+J794+J800+J803+J807+J810</f>
        <v>-8588.92</v>
      </c>
      <c r="K773" s="257">
        <f>L774+L778+L794+L800+L803+L807+L810</f>
        <v>30993.1</v>
      </c>
      <c r="L773" s="257">
        <f>L774+L778+L794+L800+L803+L807+L810</f>
        <v>30993.1</v>
      </c>
      <c r="M773" s="257">
        <f t="shared" ref="M773" si="687">M774+M778+M794+M800+M803+M807+M810</f>
        <v>13638.8</v>
      </c>
      <c r="N773" s="257">
        <f>N774+N778+N794+N800+N803+N807+N810</f>
        <v>44631.899999999994</v>
      </c>
      <c r="O773" s="257">
        <f>O774+O778+O794+O800+O803+O807+O810</f>
        <v>44631.899999999994</v>
      </c>
    </row>
    <row r="774" spans="1:15" ht="18" customHeight="1" x14ac:dyDescent="0.2">
      <c r="A774" s="259" t="s">
        <v>522</v>
      </c>
      <c r="B774" s="252" t="s">
        <v>146</v>
      </c>
      <c r="C774" s="252" t="s">
        <v>198</v>
      </c>
      <c r="D774" s="252" t="s">
        <v>192</v>
      </c>
      <c r="E774" s="252" t="s">
        <v>815</v>
      </c>
      <c r="F774" s="252"/>
      <c r="G774" s="257">
        <v>200</v>
      </c>
      <c r="H774" s="257">
        <v>0</v>
      </c>
      <c r="I774" s="257">
        <v>200</v>
      </c>
      <c r="J774" s="257">
        <f t="shared" ref="J774:O774" si="688">J775</f>
        <v>-100</v>
      </c>
      <c r="K774" s="257">
        <f>L775</f>
        <v>100</v>
      </c>
      <c r="L774" s="257">
        <f t="shared" si="688"/>
        <v>100</v>
      </c>
      <c r="M774" s="257">
        <f t="shared" si="688"/>
        <v>0</v>
      </c>
      <c r="N774" s="257">
        <f t="shared" si="688"/>
        <v>100</v>
      </c>
      <c r="O774" s="257">
        <f t="shared" si="688"/>
        <v>100</v>
      </c>
    </row>
    <row r="775" spans="1:15" ht="18" customHeight="1" x14ac:dyDescent="0.2">
      <c r="A775" s="259" t="s">
        <v>93</v>
      </c>
      <c r="B775" s="252" t="s">
        <v>146</v>
      </c>
      <c r="C775" s="252" t="s">
        <v>198</v>
      </c>
      <c r="D775" s="252" t="s">
        <v>192</v>
      </c>
      <c r="E775" s="252" t="s">
        <v>815</v>
      </c>
      <c r="F775" s="252" t="s">
        <v>94</v>
      </c>
      <c r="G775" s="257">
        <v>200</v>
      </c>
      <c r="H775" s="257">
        <v>0</v>
      </c>
      <c r="I775" s="257">
        <v>200</v>
      </c>
      <c r="J775" s="257">
        <v>-100</v>
      </c>
      <c r="K775" s="257">
        <f t="shared" ref="K775:L777" si="689">I775+J775</f>
        <v>100</v>
      </c>
      <c r="L775" s="257">
        <v>100</v>
      </c>
      <c r="M775" s="257">
        <v>0</v>
      </c>
      <c r="N775" s="257">
        <f>L775+M775</f>
        <v>100</v>
      </c>
      <c r="O775" s="257">
        <v>100</v>
      </c>
    </row>
    <row r="776" spans="1:15" ht="18" hidden="1" customHeight="1" x14ac:dyDescent="0.2">
      <c r="A776" s="259" t="s">
        <v>857</v>
      </c>
      <c r="B776" s="252" t="s">
        <v>146</v>
      </c>
      <c r="C776" s="252" t="s">
        <v>198</v>
      </c>
      <c r="D776" s="252" t="s">
        <v>192</v>
      </c>
      <c r="E776" s="252" t="s">
        <v>925</v>
      </c>
      <c r="F776" s="252" t="s">
        <v>94</v>
      </c>
      <c r="G776" s="257">
        <v>0</v>
      </c>
      <c r="H776" s="257">
        <v>0</v>
      </c>
      <c r="I776" s="257">
        <v>0</v>
      </c>
      <c r="J776" s="257">
        <f t="shared" si="644"/>
        <v>0</v>
      </c>
      <c r="K776" s="257">
        <f t="shared" si="689"/>
        <v>0</v>
      </c>
      <c r="L776" s="257">
        <f t="shared" si="689"/>
        <v>0</v>
      </c>
      <c r="M776" s="257">
        <f>L776+L776</f>
        <v>0</v>
      </c>
      <c r="N776" s="257">
        <f>L776+M776</f>
        <v>0</v>
      </c>
      <c r="O776" s="257">
        <f t="shared" ref="O776:O777" si="690">M776+N776</f>
        <v>0</v>
      </c>
    </row>
    <row r="777" spans="1:15" ht="31.5" hidden="1" customHeight="1" x14ac:dyDescent="0.2">
      <c r="A777" s="259" t="s">
        <v>857</v>
      </c>
      <c r="B777" s="252" t="s">
        <v>146</v>
      </c>
      <c r="C777" s="252" t="s">
        <v>198</v>
      </c>
      <c r="D777" s="252" t="s">
        <v>192</v>
      </c>
      <c r="E777" s="252" t="s">
        <v>858</v>
      </c>
      <c r="F777" s="252" t="s">
        <v>94</v>
      </c>
      <c r="G777" s="257">
        <v>0</v>
      </c>
      <c r="H777" s="257">
        <v>0</v>
      </c>
      <c r="I777" s="257">
        <v>0</v>
      </c>
      <c r="J777" s="257">
        <f t="shared" si="644"/>
        <v>0</v>
      </c>
      <c r="K777" s="257">
        <f t="shared" si="689"/>
        <v>0</v>
      </c>
      <c r="L777" s="257">
        <f t="shared" si="689"/>
        <v>0</v>
      </c>
      <c r="M777" s="257">
        <f>L777+L777</f>
        <v>0</v>
      </c>
      <c r="N777" s="257">
        <f>L777+M777</f>
        <v>0</v>
      </c>
      <c r="O777" s="257">
        <f t="shared" si="690"/>
        <v>0</v>
      </c>
    </row>
    <row r="778" spans="1:15" ht="20.25" customHeight="1" x14ac:dyDescent="0.2">
      <c r="A778" s="259" t="s">
        <v>523</v>
      </c>
      <c r="B778" s="252" t="s">
        <v>146</v>
      </c>
      <c r="C778" s="252" t="s">
        <v>198</v>
      </c>
      <c r="D778" s="252" t="s">
        <v>192</v>
      </c>
      <c r="E778" s="252" t="s">
        <v>814</v>
      </c>
      <c r="F778" s="252"/>
      <c r="G778" s="257">
        <v>1800</v>
      </c>
      <c r="H778" s="257">
        <v>0</v>
      </c>
      <c r="I778" s="257">
        <v>1800</v>
      </c>
      <c r="J778" s="257">
        <f t="shared" ref="J778" si="691">J779+J781</f>
        <v>0</v>
      </c>
      <c r="K778" s="257">
        <f>L779+L781</f>
        <v>1800</v>
      </c>
      <c r="L778" s="257">
        <f t="shared" ref="L778" si="692">L779+L781</f>
        <v>1800</v>
      </c>
      <c r="M778" s="257">
        <f t="shared" ref="M778:N778" si="693">M779+M781</f>
        <v>0</v>
      </c>
      <c r="N778" s="257">
        <f t="shared" si="693"/>
        <v>1800</v>
      </c>
      <c r="O778" s="257">
        <f t="shared" ref="O778" si="694">O779+O781</f>
        <v>1800</v>
      </c>
    </row>
    <row r="779" spans="1:15" ht="17.25" customHeight="1" x14ac:dyDescent="0.2">
      <c r="A779" s="259" t="s">
        <v>93</v>
      </c>
      <c r="B779" s="252" t="s">
        <v>146</v>
      </c>
      <c r="C779" s="252" t="s">
        <v>198</v>
      </c>
      <c r="D779" s="252" t="s">
        <v>192</v>
      </c>
      <c r="E779" s="252" t="s">
        <v>859</v>
      </c>
      <c r="F779" s="252" t="s">
        <v>94</v>
      </c>
      <c r="G779" s="257">
        <v>800</v>
      </c>
      <c r="H779" s="257">
        <v>0</v>
      </c>
      <c r="I779" s="257">
        <v>800</v>
      </c>
      <c r="J779" s="257">
        <v>0</v>
      </c>
      <c r="K779" s="257">
        <f t="shared" ref="K779:L793" si="695">I779+J779</f>
        <v>800</v>
      </c>
      <c r="L779" s="257">
        <v>800</v>
      </c>
      <c r="M779" s="257">
        <v>0</v>
      </c>
      <c r="N779" s="257">
        <f t="shared" ref="N779:N793" si="696">L779+M779</f>
        <v>800</v>
      </c>
      <c r="O779" s="257">
        <v>800</v>
      </c>
    </row>
    <row r="780" spans="1:15" ht="17.25" hidden="1" customHeight="1" x14ac:dyDescent="0.2">
      <c r="A780" s="259" t="s">
        <v>93</v>
      </c>
      <c r="B780" s="252" t="s">
        <v>146</v>
      </c>
      <c r="C780" s="252" t="s">
        <v>198</v>
      </c>
      <c r="D780" s="252" t="s">
        <v>192</v>
      </c>
      <c r="E780" s="252" t="s">
        <v>859</v>
      </c>
      <c r="F780" s="252" t="s">
        <v>0</v>
      </c>
      <c r="G780" s="257">
        <v>0</v>
      </c>
      <c r="H780" s="257">
        <v>0</v>
      </c>
      <c r="I780" s="257">
        <v>0</v>
      </c>
      <c r="J780" s="257">
        <f t="shared" si="644"/>
        <v>0</v>
      </c>
      <c r="K780" s="257">
        <f t="shared" si="695"/>
        <v>0</v>
      </c>
      <c r="L780" s="257">
        <v>0</v>
      </c>
      <c r="M780" s="257">
        <f>L780+L780</f>
        <v>0</v>
      </c>
      <c r="N780" s="257">
        <f t="shared" si="696"/>
        <v>0</v>
      </c>
      <c r="O780" s="257">
        <v>0</v>
      </c>
    </row>
    <row r="781" spans="1:15" ht="17.25" customHeight="1" x14ac:dyDescent="0.2">
      <c r="A781" s="259" t="s">
        <v>93</v>
      </c>
      <c r="B781" s="252" t="s">
        <v>146</v>
      </c>
      <c r="C781" s="252" t="s">
        <v>198</v>
      </c>
      <c r="D781" s="252" t="s">
        <v>192</v>
      </c>
      <c r="E781" s="252" t="s">
        <v>860</v>
      </c>
      <c r="F781" s="252" t="s">
        <v>94</v>
      </c>
      <c r="G781" s="257">
        <v>1000</v>
      </c>
      <c r="H781" s="257">
        <v>0</v>
      </c>
      <c r="I781" s="257">
        <v>1000</v>
      </c>
      <c r="J781" s="257">
        <v>0</v>
      </c>
      <c r="K781" s="257">
        <f t="shared" si="695"/>
        <v>1000</v>
      </c>
      <c r="L781" s="257">
        <v>1000</v>
      </c>
      <c r="M781" s="257">
        <v>0</v>
      </c>
      <c r="N781" s="257">
        <f t="shared" si="696"/>
        <v>1000</v>
      </c>
      <c r="O781" s="257">
        <v>1000</v>
      </c>
    </row>
    <row r="782" spans="1:15" ht="17.25" hidden="1" customHeight="1" x14ac:dyDescent="0.2">
      <c r="A782" s="259" t="s">
        <v>78</v>
      </c>
      <c r="B782" s="252" t="s">
        <v>146</v>
      </c>
      <c r="C782" s="252" t="s">
        <v>198</v>
      </c>
      <c r="D782" s="252" t="s">
        <v>192</v>
      </c>
      <c r="E782" s="252" t="s">
        <v>860</v>
      </c>
      <c r="F782" s="252" t="s">
        <v>79</v>
      </c>
      <c r="G782" s="257">
        <v>0</v>
      </c>
      <c r="H782" s="257">
        <v>0</v>
      </c>
      <c r="I782" s="257">
        <v>0</v>
      </c>
      <c r="J782" s="257">
        <f t="shared" si="644"/>
        <v>0</v>
      </c>
      <c r="K782" s="257">
        <f t="shared" si="695"/>
        <v>0</v>
      </c>
      <c r="L782" s="257">
        <f t="shared" si="695"/>
        <v>0</v>
      </c>
      <c r="M782" s="257">
        <f t="shared" ref="M782:M793" si="697">L782+L782</f>
        <v>0</v>
      </c>
      <c r="N782" s="257">
        <f t="shared" si="696"/>
        <v>0</v>
      </c>
      <c r="O782" s="257">
        <f t="shared" ref="O782:O793" si="698">M782+N782</f>
        <v>0</v>
      </c>
    </row>
    <row r="783" spans="1:15" ht="17.25" hidden="1" customHeight="1" x14ac:dyDescent="0.2">
      <c r="A783" s="259" t="s">
        <v>340</v>
      </c>
      <c r="B783" s="252" t="s">
        <v>146</v>
      </c>
      <c r="C783" s="252" t="s">
        <v>198</v>
      </c>
      <c r="D783" s="252" t="s">
        <v>192</v>
      </c>
      <c r="E783" s="252" t="s">
        <v>814</v>
      </c>
      <c r="F783" s="252" t="s">
        <v>0</v>
      </c>
      <c r="G783" s="257">
        <v>0</v>
      </c>
      <c r="H783" s="257">
        <v>0</v>
      </c>
      <c r="I783" s="257">
        <v>0</v>
      </c>
      <c r="J783" s="257">
        <f t="shared" si="644"/>
        <v>0</v>
      </c>
      <c r="K783" s="257">
        <f t="shared" si="695"/>
        <v>0</v>
      </c>
      <c r="L783" s="257">
        <f t="shared" si="695"/>
        <v>0</v>
      </c>
      <c r="M783" s="257">
        <f t="shared" si="697"/>
        <v>0</v>
      </c>
      <c r="N783" s="257">
        <f t="shared" si="696"/>
        <v>0</v>
      </c>
      <c r="O783" s="257">
        <f t="shared" si="698"/>
        <v>0</v>
      </c>
    </row>
    <row r="784" spans="1:15" ht="42.75" hidden="1" customHeight="1" x14ac:dyDescent="0.2">
      <c r="A784" s="259" t="s">
        <v>937</v>
      </c>
      <c r="B784" s="252" t="s">
        <v>146</v>
      </c>
      <c r="C784" s="252" t="s">
        <v>198</v>
      </c>
      <c r="D784" s="252" t="s">
        <v>192</v>
      </c>
      <c r="E784" s="252" t="s">
        <v>927</v>
      </c>
      <c r="F784" s="252" t="s">
        <v>57</v>
      </c>
      <c r="G784" s="257">
        <v>0</v>
      </c>
      <c r="H784" s="257">
        <v>0</v>
      </c>
      <c r="I784" s="257">
        <v>0</v>
      </c>
      <c r="J784" s="257">
        <f t="shared" si="644"/>
        <v>0</v>
      </c>
      <c r="K784" s="257">
        <f t="shared" si="695"/>
        <v>0</v>
      </c>
      <c r="L784" s="257">
        <f t="shared" si="695"/>
        <v>0</v>
      </c>
      <c r="M784" s="257">
        <f t="shared" si="697"/>
        <v>0</v>
      </c>
      <c r="N784" s="257">
        <f t="shared" si="696"/>
        <v>0</v>
      </c>
      <c r="O784" s="257">
        <f t="shared" si="698"/>
        <v>0</v>
      </c>
    </row>
    <row r="785" spans="1:15" ht="17.25" hidden="1" customHeight="1" x14ac:dyDescent="0.2">
      <c r="A785" s="259" t="s">
        <v>936</v>
      </c>
      <c r="B785" s="252" t="s">
        <v>146</v>
      </c>
      <c r="C785" s="252" t="s">
        <v>198</v>
      </c>
      <c r="D785" s="252" t="s">
        <v>192</v>
      </c>
      <c r="E785" s="252" t="s">
        <v>928</v>
      </c>
      <c r="F785" s="252" t="s">
        <v>926</v>
      </c>
      <c r="G785" s="257">
        <v>0</v>
      </c>
      <c r="H785" s="257">
        <v>0</v>
      </c>
      <c r="I785" s="257">
        <v>0</v>
      </c>
      <c r="J785" s="257">
        <f t="shared" si="644"/>
        <v>0</v>
      </c>
      <c r="K785" s="257">
        <f t="shared" si="695"/>
        <v>0</v>
      </c>
      <c r="L785" s="257">
        <f t="shared" si="695"/>
        <v>0</v>
      </c>
      <c r="M785" s="257">
        <f t="shared" si="697"/>
        <v>0</v>
      </c>
      <c r="N785" s="257">
        <f t="shared" si="696"/>
        <v>0</v>
      </c>
      <c r="O785" s="257">
        <f t="shared" si="698"/>
        <v>0</v>
      </c>
    </row>
    <row r="786" spans="1:15" ht="17.25" hidden="1" customHeight="1" x14ac:dyDescent="0.2">
      <c r="A786" s="259" t="s">
        <v>934</v>
      </c>
      <c r="B786" s="252" t="s">
        <v>146</v>
      </c>
      <c r="C786" s="252" t="s">
        <v>198</v>
      </c>
      <c r="D786" s="252" t="s">
        <v>192</v>
      </c>
      <c r="E786" s="252" t="s">
        <v>928</v>
      </c>
      <c r="F786" s="252" t="s">
        <v>0</v>
      </c>
      <c r="G786" s="257">
        <v>0</v>
      </c>
      <c r="H786" s="257">
        <v>0</v>
      </c>
      <c r="I786" s="257">
        <v>0</v>
      </c>
      <c r="J786" s="257">
        <f t="shared" si="644"/>
        <v>0</v>
      </c>
      <c r="K786" s="257">
        <f t="shared" si="695"/>
        <v>0</v>
      </c>
      <c r="L786" s="257">
        <f t="shared" si="695"/>
        <v>0</v>
      </c>
      <c r="M786" s="257">
        <f t="shared" si="697"/>
        <v>0</v>
      </c>
      <c r="N786" s="257">
        <f t="shared" si="696"/>
        <v>0</v>
      </c>
      <c r="O786" s="257">
        <f t="shared" si="698"/>
        <v>0</v>
      </c>
    </row>
    <row r="787" spans="1:15" ht="17.25" hidden="1" customHeight="1" x14ac:dyDescent="0.2">
      <c r="A787" s="259" t="s">
        <v>879</v>
      </c>
      <c r="B787" s="252" t="s">
        <v>146</v>
      </c>
      <c r="C787" s="252" t="s">
        <v>198</v>
      </c>
      <c r="D787" s="252" t="s">
        <v>192</v>
      </c>
      <c r="E787" s="252" t="s">
        <v>880</v>
      </c>
      <c r="F787" s="252" t="s">
        <v>926</v>
      </c>
      <c r="G787" s="257">
        <v>0</v>
      </c>
      <c r="H787" s="257">
        <v>0</v>
      </c>
      <c r="I787" s="257">
        <v>0</v>
      </c>
      <c r="J787" s="257">
        <f t="shared" si="644"/>
        <v>0</v>
      </c>
      <c r="K787" s="257">
        <f t="shared" si="695"/>
        <v>0</v>
      </c>
      <c r="L787" s="257">
        <f t="shared" si="695"/>
        <v>0</v>
      </c>
      <c r="M787" s="257">
        <f t="shared" si="697"/>
        <v>0</v>
      </c>
      <c r="N787" s="257">
        <f t="shared" si="696"/>
        <v>0</v>
      </c>
      <c r="O787" s="257">
        <f t="shared" si="698"/>
        <v>0</v>
      </c>
    </row>
    <row r="788" spans="1:15" ht="17.25" hidden="1" customHeight="1" x14ac:dyDescent="0.2">
      <c r="A788" s="259" t="s">
        <v>935</v>
      </c>
      <c r="B788" s="252" t="s">
        <v>146</v>
      </c>
      <c r="C788" s="252" t="s">
        <v>198</v>
      </c>
      <c r="D788" s="252" t="s">
        <v>192</v>
      </c>
      <c r="E788" s="252" t="s">
        <v>929</v>
      </c>
      <c r="F788" s="252" t="s">
        <v>926</v>
      </c>
      <c r="G788" s="257">
        <v>0</v>
      </c>
      <c r="H788" s="257">
        <v>0</v>
      </c>
      <c r="I788" s="257">
        <v>0</v>
      </c>
      <c r="J788" s="257">
        <f t="shared" si="644"/>
        <v>0</v>
      </c>
      <c r="K788" s="257">
        <f t="shared" si="695"/>
        <v>0</v>
      </c>
      <c r="L788" s="257">
        <f t="shared" si="695"/>
        <v>0</v>
      </c>
      <c r="M788" s="257">
        <f t="shared" si="697"/>
        <v>0</v>
      </c>
      <c r="N788" s="257">
        <f t="shared" si="696"/>
        <v>0</v>
      </c>
      <c r="O788" s="257">
        <f t="shared" si="698"/>
        <v>0</v>
      </c>
    </row>
    <row r="789" spans="1:15" ht="53.25" hidden="1" customHeight="1" x14ac:dyDescent="0.2">
      <c r="A789" s="259" t="s">
        <v>879</v>
      </c>
      <c r="B789" s="252" t="s">
        <v>146</v>
      </c>
      <c r="C789" s="252" t="s">
        <v>198</v>
      </c>
      <c r="D789" s="252" t="s">
        <v>192</v>
      </c>
      <c r="E789" s="252" t="s">
        <v>881</v>
      </c>
      <c r="F789" s="252" t="s">
        <v>79</v>
      </c>
      <c r="G789" s="257">
        <v>0</v>
      </c>
      <c r="H789" s="257">
        <v>0</v>
      </c>
      <c r="I789" s="257">
        <v>0</v>
      </c>
      <c r="J789" s="257">
        <f t="shared" si="644"/>
        <v>0</v>
      </c>
      <c r="K789" s="257">
        <f t="shared" si="695"/>
        <v>0</v>
      </c>
      <c r="L789" s="257">
        <f t="shared" si="695"/>
        <v>0</v>
      </c>
      <c r="M789" s="257">
        <f t="shared" si="697"/>
        <v>0</v>
      </c>
      <c r="N789" s="257">
        <f t="shared" si="696"/>
        <v>0</v>
      </c>
      <c r="O789" s="257">
        <f t="shared" si="698"/>
        <v>0</v>
      </c>
    </row>
    <row r="790" spans="1:15" ht="54.75" hidden="1" customHeight="1" x14ac:dyDescent="0.2">
      <c r="A790" s="259" t="s">
        <v>879</v>
      </c>
      <c r="B790" s="252" t="s">
        <v>146</v>
      </c>
      <c r="C790" s="252" t="s">
        <v>198</v>
      </c>
      <c r="D790" s="252" t="s">
        <v>192</v>
      </c>
      <c r="E790" s="252" t="s">
        <v>880</v>
      </c>
      <c r="F790" s="252" t="s">
        <v>79</v>
      </c>
      <c r="G790" s="257">
        <v>0</v>
      </c>
      <c r="H790" s="257">
        <v>0</v>
      </c>
      <c r="I790" s="257">
        <v>0</v>
      </c>
      <c r="J790" s="257">
        <f t="shared" si="644"/>
        <v>0</v>
      </c>
      <c r="K790" s="257">
        <f t="shared" si="695"/>
        <v>0</v>
      </c>
      <c r="L790" s="257">
        <f t="shared" si="695"/>
        <v>0</v>
      </c>
      <c r="M790" s="257">
        <f t="shared" si="697"/>
        <v>0</v>
      </c>
      <c r="N790" s="257">
        <f t="shared" si="696"/>
        <v>0</v>
      </c>
      <c r="O790" s="257">
        <f t="shared" si="698"/>
        <v>0</v>
      </c>
    </row>
    <row r="791" spans="1:15" ht="60" hidden="1" customHeight="1" x14ac:dyDescent="0.2">
      <c r="A791" s="273" t="s">
        <v>812</v>
      </c>
      <c r="B791" s="271" t="s">
        <v>146</v>
      </c>
      <c r="C791" s="252" t="s">
        <v>198</v>
      </c>
      <c r="D791" s="252" t="s">
        <v>192</v>
      </c>
      <c r="E791" s="252" t="s">
        <v>813</v>
      </c>
      <c r="F791" s="252"/>
      <c r="G791" s="257">
        <v>0</v>
      </c>
      <c r="H791" s="257">
        <v>0</v>
      </c>
      <c r="I791" s="257">
        <v>0</v>
      </c>
      <c r="J791" s="257">
        <f t="shared" si="644"/>
        <v>0</v>
      </c>
      <c r="K791" s="257">
        <f t="shared" si="695"/>
        <v>0</v>
      </c>
      <c r="L791" s="257">
        <f t="shared" si="695"/>
        <v>0</v>
      </c>
      <c r="M791" s="257">
        <f t="shared" si="697"/>
        <v>0</v>
      </c>
      <c r="N791" s="257">
        <f t="shared" si="696"/>
        <v>0</v>
      </c>
      <c r="O791" s="257">
        <f t="shared" si="698"/>
        <v>0</v>
      </c>
    </row>
    <row r="792" spans="1:15" ht="30.75" hidden="1" customHeight="1" x14ac:dyDescent="0.2">
      <c r="A792" s="273" t="s">
        <v>93</v>
      </c>
      <c r="B792" s="271" t="s">
        <v>146</v>
      </c>
      <c r="C792" s="252" t="s">
        <v>198</v>
      </c>
      <c r="D792" s="252" t="s">
        <v>192</v>
      </c>
      <c r="E792" s="252" t="s">
        <v>813</v>
      </c>
      <c r="F792" s="252" t="s">
        <v>94</v>
      </c>
      <c r="G792" s="257">
        <v>0</v>
      </c>
      <c r="H792" s="257">
        <v>0</v>
      </c>
      <c r="I792" s="257">
        <v>0</v>
      </c>
      <c r="J792" s="257">
        <f t="shared" si="644"/>
        <v>0</v>
      </c>
      <c r="K792" s="257">
        <f t="shared" si="695"/>
        <v>0</v>
      </c>
      <c r="L792" s="257">
        <f t="shared" si="695"/>
        <v>0</v>
      </c>
      <c r="M792" s="257">
        <f t="shared" si="697"/>
        <v>0</v>
      </c>
      <c r="N792" s="257">
        <f t="shared" si="696"/>
        <v>0</v>
      </c>
      <c r="O792" s="257">
        <f t="shared" si="698"/>
        <v>0</v>
      </c>
    </row>
    <row r="793" spans="1:15" ht="29.25" hidden="1" customHeight="1" x14ac:dyDescent="0.2">
      <c r="A793" s="259" t="s">
        <v>521</v>
      </c>
      <c r="B793" s="271">
        <v>801</v>
      </c>
      <c r="C793" s="252" t="s">
        <v>198</v>
      </c>
      <c r="D793" s="252" t="s">
        <v>192</v>
      </c>
      <c r="E793" s="252" t="s">
        <v>821</v>
      </c>
      <c r="F793" s="252" t="s">
        <v>79</v>
      </c>
      <c r="G793" s="257">
        <v>15</v>
      </c>
      <c r="H793" s="257">
        <v>24</v>
      </c>
      <c r="I793" s="257">
        <v>39</v>
      </c>
      <c r="J793" s="257">
        <f t="shared" ref="J793:L862" si="699">H793+I793</f>
        <v>63</v>
      </c>
      <c r="K793" s="257">
        <f t="shared" si="695"/>
        <v>102</v>
      </c>
      <c r="L793" s="257">
        <f t="shared" si="695"/>
        <v>165</v>
      </c>
      <c r="M793" s="257">
        <f t="shared" si="697"/>
        <v>330</v>
      </c>
      <c r="N793" s="257">
        <f t="shared" si="696"/>
        <v>495</v>
      </c>
      <c r="O793" s="257">
        <f t="shared" si="698"/>
        <v>825</v>
      </c>
    </row>
    <row r="794" spans="1:15" ht="54.75" customHeight="1" x14ac:dyDescent="0.2">
      <c r="A794" s="259" t="s">
        <v>1013</v>
      </c>
      <c r="B794" s="271">
        <v>801</v>
      </c>
      <c r="C794" s="252" t="s">
        <v>198</v>
      </c>
      <c r="D794" s="252" t="s">
        <v>192</v>
      </c>
      <c r="E794" s="252" t="s">
        <v>1282</v>
      </c>
      <c r="F794" s="252"/>
      <c r="G794" s="257">
        <v>32342.2</v>
      </c>
      <c r="H794" s="257">
        <v>-21667</v>
      </c>
      <c r="I794" s="257">
        <v>10675.2</v>
      </c>
      <c r="J794" s="257">
        <f t="shared" ref="J794" si="700">J798</f>
        <v>-1317.2</v>
      </c>
      <c r="K794" s="257">
        <f>L798</f>
        <v>14985.5</v>
      </c>
      <c r="L794" s="257">
        <f>L798+L799</f>
        <v>14985.5</v>
      </c>
      <c r="M794" s="257">
        <f t="shared" ref="M794:O794" si="701">M798+M799</f>
        <v>9895.7999999999993</v>
      </c>
      <c r="N794" s="257">
        <f t="shared" si="701"/>
        <v>24881.3</v>
      </c>
      <c r="O794" s="257">
        <f t="shared" si="701"/>
        <v>24881.3</v>
      </c>
    </row>
    <row r="795" spans="1:15" s="430" customFormat="1" ht="22.5" hidden="1" customHeight="1" x14ac:dyDescent="0.2">
      <c r="A795" s="462" t="s">
        <v>224</v>
      </c>
      <c r="B795" s="249">
        <v>801</v>
      </c>
      <c r="C795" s="250" t="s">
        <v>198</v>
      </c>
      <c r="D795" s="250" t="s">
        <v>194</v>
      </c>
      <c r="E795" s="250"/>
      <c r="F795" s="250"/>
      <c r="G795" s="257">
        <v>0</v>
      </c>
      <c r="H795" s="275">
        <v>0</v>
      </c>
      <c r="I795" s="257">
        <v>0</v>
      </c>
      <c r="J795" s="275">
        <f t="shared" ref="J795:J796" si="702">J796</f>
        <v>0</v>
      </c>
      <c r="K795" s="257">
        <f t="shared" ref="K795:L797" si="703">I795+J795</f>
        <v>0</v>
      </c>
      <c r="L795" s="257">
        <f t="shared" si="703"/>
        <v>0</v>
      </c>
      <c r="M795" s="275">
        <f t="shared" ref="M795:M796" si="704">M796</f>
        <v>0</v>
      </c>
      <c r="N795" s="257">
        <f>L795+M795</f>
        <v>0</v>
      </c>
      <c r="O795" s="257">
        <f t="shared" ref="O795:O797" si="705">M795+N795</f>
        <v>0</v>
      </c>
    </row>
    <row r="796" spans="1:15" ht="59.25" hidden="1" customHeight="1" x14ac:dyDescent="0.2">
      <c r="A796" s="259" t="s">
        <v>945</v>
      </c>
      <c r="B796" s="271">
        <v>801</v>
      </c>
      <c r="C796" s="252" t="s">
        <v>198</v>
      </c>
      <c r="D796" s="252" t="s">
        <v>194</v>
      </c>
      <c r="E796" s="252" t="s">
        <v>944</v>
      </c>
      <c r="F796" s="252"/>
      <c r="G796" s="257">
        <v>0</v>
      </c>
      <c r="H796" s="257">
        <v>0</v>
      </c>
      <c r="I796" s="257">
        <v>0</v>
      </c>
      <c r="J796" s="257">
        <f t="shared" si="702"/>
        <v>0</v>
      </c>
      <c r="K796" s="257">
        <f t="shared" si="703"/>
        <v>0</v>
      </c>
      <c r="L796" s="257">
        <f t="shared" si="703"/>
        <v>0</v>
      </c>
      <c r="M796" s="257">
        <f t="shared" si="704"/>
        <v>0</v>
      </c>
      <c r="N796" s="257">
        <f>L796+M796</f>
        <v>0</v>
      </c>
      <c r="O796" s="257">
        <f t="shared" si="705"/>
        <v>0</v>
      </c>
    </row>
    <row r="797" spans="1:15" ht="22.5" hidden="1" customHeight="1" x14ac:dyDescent="0.2">
      <c r="A797" s="259" t="s">
        <v>93</v>
      </c>
      <c r="B797" s="271">
        <v>801</v>
      </c>
      <c r="C797" s="252" t="s">
        <v>198</v>
      </c>
      <c r="D797" s="252" t="s">
        <v>194</v>
      </c>
      <c r="E797" s="252" t="s">
        <v>944</v>
      </c>
      <c r="F797" s="252" t="s">
        <v>94</v>
      </c>
      <c r="G797" s="257">
        <v>0</v>
      </c>
      <c r="H797" s="257">
        <v>0</v>
      </c>
      <c r="I797" s="257">
        <v>0</v>
      </c>
      <c r="J797" s="257">
        <f t="shared" ref="J797" si="706">H797+I797</f>
        <v>0</v>
      </c>
      <c r="K797" s="257">
        <f t="shared" si="703"/>
        <v>0</v>
      </c>
      <c r="L797" s="257">
        <f t="shared" si="703"/>
        <v>0</v>
      </c>
      <c r="M797" s="257">
        <f>L797+L797</f>
        <v>0</v>
      </c>
      <c r="N797" s="257">
        <f>L797+M797</f>
        <v>0</v>
      </c>
      <c r="O797" s="257">
        <f t="shared" si="705"/>
        <v>0</v>
      </c>
    </row>
    <row r="798" spans="1:15" ht="30" customHeight="1" x14ac:dyDescent="0.2">
      <c r="A798" s="259" t="s">
        <v>1105</v>
      </c>
      <c r="B798" s="271">
        <v>801</v>
      </c>
      <c r="C798" s="252" t="s">
        <v>198</v>
      </c>
      <c r="D798" s="252" t="s">
        <v>192</v>
      </c>
      <c r="E798" s="252" t="s">
        <v>1014</v>
      </c>
      <c r="F798" s="252" t="s">
        <v>1099</v>
      </c>
      <c r="G798" s="257">
        <v>32342.2</v>
      </c>
      <c r="H798" s="257">
        <v>-21667</v>
      </c>
      <c r="I798" s="257">
        <v>10675.2</v>
      </c>
      <c r="J798" s="257">
        <v>-1317.2</v>
      </c>
      <c r="K798" s="257">
        <f>I798+J798</f>
        <v>9358</v>
      </c>
      <c r="L798" s="257">
        <v>14985.5</v>
      </c>
      <c r="M798" s="257">
        <v>-14985.5</v>
      </c>
      <c r="N798" s="257">
        <f>L798+M798</f>
        <v>0</v>
      </c>
      <c r="O798" s="257">
        <v>0</v>
      </c>
    </row>
    <row r="799" spans="1:15" ht="30" customHeight="1" x14ac:dyDescent="0.2">
      <c r="A799" s="259" t="s">
        <v>1105</v>
      </c>
      <c r="B799" s="271">
        <v>801</v>
      </c>
      <c r="C799" s="252" t="s">
        <v>198</v>
      </c>
      <c r="D799" s="252" t="s">
        <v>192</v>
      </c>
      <c r="E799" s="252" t="s">
        <v>1282</v>
      </c>
      <c r="F799" s="252" t="s">
        <v>1099</v>
      </c>
      <c r="G799" s="257"/>
      <c r="H799" s="257"/>
      <c r="I799" s="257"/>
      <c r="J799" s="257"/>
      <c r="K799" s="257"/>
      <c r="L799" s="257">
        <v>0</v>
      </c>
      <c r="M799" s="257">
        <v>24881.3</v>
      </c>
      <c r="N799" s="257">
        <f>L799+M799</f>
        <v>24881.3</v>
      </c>
      <c r="O799" s="257">
        <v>24881.3</v>
      </c>
    </row>
    <row r="800" spans="1:15" ht="126" customHeight="1" x14ac:dyDescent="0.2">
      <c r="A800" s="259" t="s">
        <v>1048</v>
      </c>
      <c r="B800" s="252" t="s">
        <v>146</v>
      </c>
      <c r="C800" s="252" t="s">
        <v>198</v>
      </c>
      <c r="D800" s="252" t="s">
        <v>192</v>
      </c>
      <c r="E800" s="252" t="s">
        <v>1280</v>
      </c>
      <c r="F800" s="252"/>
      <c r="G800" s="257">
        <v>16858.7</v>
      </c>
      <c r="H800" s="257">
        <v>-4761.5</v>
      </c>
      <c r="I800" s="257">
        <v>12097.2</v>
      </c>
      <c r="J800" s="257">
        <f t="shared" ref="J800" si="707">J801</f>
        <v>-883.9</v>
      </c>
      <c r="K800" s="257">
        <f>L801</f>
        <v>11768</v>
      </c>
      <c r="L800" s="257">
        <f>L801+L802</f>
        <v>11768</v>
      </c>
      <c r="M800" s="257">
        <f t="shared" ref="M800:O800" si="708">M801+M802</f>
        <v>6082.5999999999985</v>
      </c>
      <c r="N800" s="257">
        <f t="shared" si="708"/>
        <v>17850.599999999999</v>
      </c>
      <c r="O800" s="257">
        <f t="shared" si="708"/>
        <v>17850.599999999999</v>
      </c>
    </row>
    <row r="801" spans="1:15" ht="36" customHeight="1" x14ac:dyDescent="0.2">
      <c r="A801" s="259" t="s">
        <v>1105</v>
      </c>
      <c r="B801" s="252" t="s">
        <v>146</v>
      </c>
      <c r="C801" s="252" t="s">
        <v>198</v>
      </c>
      <c r="D801" s="252" t="s">
        <v>192</v>
      </c>
      <c r="E801" s="252" t="s">
        <v>1115</v>
      </c>
      <c r="F801" s="252" t="s">
        <v>1099</v>
      </c>
      <c r="G801" s="257">
        <v>16858.7</v>
      </c>
      <c r="H801" s="257">
        <v>-4761.5</v>
      </c>
      <c r="I801" s="257">
        <v>12097.2</v>
      </c>
      <c r="J801" s="257">
        <v>-883.9</v>
      </c>
      <c r="K801" s="257">
        <f t="shared" ref="K801" si="709">I801+J801</f>
        <v>11213.300000000001</v>
      </c>
      <c r="L801" s="257">
        <v>11768</v>
      </c>
      <c r="M801" s="257">
        <v>-11768</v>
      </c>
      <c r="N801" s="257">
        <f>L801+M801</f>
        <v>0</v>
      </c>
      <c r="O801" s="257">
        <v>0</v>
      </c>
    </row>
    <row r="802" spans="1:15" ht="36" customHeight="1" x14ac:dyDescent="0.2">
      <c r="A802" s="259" t="s">
        <v>1105</v>
      </c>
      <c r="B802" s="252" t="s">
        <v>146</v>
      </c>
      <c r="C802" s="252" t="s">
        <v>198</v>
      </c>
      <c r="D802" s="252" t="s">
        <v>192</v>
      </c>
      <c r="E802" s="252" t="s">
        <v>1280</v>
      </c>
      <c r="F802" s="252" t="s">
        <v>1099</v>
      </c>
      <c r="G802" s="257"/>
      <c r="H802" s="257"/>
      <c r="I802" s="257"/>
      <c r="J802" s="257"/>
      <c r="K802" s="257"/>
      <c r="L802" s="257">
        <v>0</v>
      </c>
      <c r="M802" s="257">
        <v>17850.599999999999</v>
      </c>
      <c r="N802" s="257">
        <f>L802+M802</f>
        <v>17850.599999999999</v>
      </c>
      <c r="O802" s="257">
        <v>17850.599999999999</v>
      </c>
    </row>
    <row r="803" spans="1:15" ht="34.5" customHeight="1" x14ac:dyDescent="0.2">
      <c r="A803" s="367" t="s">
        <v>1042</v>
      </c>
      <c r="B803" s="252" t="s">
        <v>146</v>
      </c>
      <c r="C803" s="252" t="s">
        <v>198</v>
      </c>
      <c r="D803" s="252" t="s">
        <v>192</v>
      </c>
      <c r="E803" s="272" t="s">
        <v>1261</v>
      </c>
      <c r="F803" s="252"/>
      <c r="G803" s="257">
        <v>874.40000000000009</v>
      </c>
      <c r="H803" s="257">
        <v>-476.67</v>
      </c>
      <c r="I803" s="257">
        <v>782.73</v>
      </c>
      <c r="J803" s="257">
        <f t="shared" ref="J803" si="710">J804+J805</f>
        <v>944.77</v>
      </c>
      <c r="K803" s="257">
        <f>L804+L805</f>
        <v>1127.4799999999998</v>
      </c>
      <c r="L803" s="257">
        <f>L804+L805+L806</f>
        <v>1127.4799999999998</v>
      </c>
      <c r="M803" s="257">
        <f t="shared" ref="M803:O803" si="711">M804+M805+M806</f>
        <v>-1127.48</v>
      </c>
      <c r="N803" s="257">
        <f t="shared" si="711"/>
        <v>0</v>
      </c>
      <c r="O803" s="257">
        <f t="shared" si="711"/>
        <v>0</v>
      </c>
    </row>
    <row r="804" spans="1:15" ht="31.5" customHeight="1" x14ac:dyDescent="0.2">
      <c r="A804" s="367" t="s">
        <v>1143</v>
      </c>
      <c r="B804" s="252" t="s">
        <v>146</v>
      </c>
      <c r="C804" s="252" t="s">
        <v>198</v>
      </c>
      <c r="D804" s="252" t="s">
        <v>192</v>
      </c>
      <c r="E804" s="272" t="s">
        <v>1116</v>
      </c>
      <c r="F804" s="252" t="s">
        <v>1099</v>
      </c>
      <c r="G804" s="257">
        <v>865.7</v>
      </c>
      <c r="H804" s="257">
        <v>-475.8</v>
      </c>
      <c r="I804" s="257">
        <v>774.9</v>
      </c>
      <c r="J804" s="257">
        <v>935.3</v>
      </c>
      <c r="K804" s="257">
        <f>I804+J804</f>
        <v>1710.1999999999998</v>
      </c>
      <c r="L804" s="257">
        <v>1116.1999999999998</v>
      </c>
      <c r="M804" s="257">
        <v>-1116.2</v>
      </c>
      <c r="N804" s="257">
        <f>L804+M804</f>
        <v>0</v>
      </c>
      <c r="O804" s="257">
        <v>0</v>
      </c>
    </row>
    <row r="805" spans="1:15" ht="32.25" customHeight="1" x14ac:dyDescent="0.2">
      <c r="A805" s="391" t="s">
        <v>856</v>
      </c>
      <c r="B805" s="252" t="s">
        <v>146</v>
      </c>
      <c r="C805" s="252" t="s">
        <v>198</v>
      </c>
      <c r="D805" s="252" t="s">
        <v>192</v>
      </c>
      <c r="E805" s="272" t="s">
        <v>1116</v>
      </c>
      <c r="F805" s="252" t="s">
        <v>1099</v>
      </c>
      <c r="G805" s="257">
        <v>8.6999999999999993</v>
      </c>
      <c r="H805" s="257">
        <v>-0.87</v>
      </c>
      <c r="I805" s="257">
        <v>7.83</v>
      </c>
      <c r="J805" s="257">
        <v>9.4700000000000006</v>
      </c>
      <c r="K805" s="257">
        <f>I805+J805</f>
        <v>17.3</v>
      </c>
      <c r="L805" s="257">
        <v>11.280000000000001</v>
      </c>
      <c r="M805" s="257">
        <v>-11.28</v>
      </c>
      <c r="N805" s="257">
        <f>L805+M805</f>
        <v>0</v>
      </c>
      <c r="O805" s="257">
        <v>0</v>
      </c>
    </row>
    <row r="806" spans="1:15" ht="32.25" hidden="1" customHeight="1" x14ac:dyDescent="0.2">
      <c r="A806" s="391" t="s">
        <v>1105</v>
      </c>
      <c r="B806" s="252" t="s">
        <v>146</v>
      </c>
      <c r="C806" s="252" t="s">
        <v>198</v>
      </c>
      <c r="D806" s="252" t="s">
        <v>192</v>
      </c>
      <c r="E806" s="272" t="s">
        <v>1261</v>
      </c>
      <c r="F806" s="252" t="s">
        <v>1099</v>
      </c>
      <c r="G806" s="257"/>
      <c r="H806" s="257"/>
      <c r="I806" s="257"/>
      <c r="J806" s="257"/>
      <c r="K806" s="257"/>
      <c r="L806" s="257">
        <v>0</v>
      </c>
      <c r="M806" s="257">
        <v>0</v>
      </c>
      <c r="N806" s="257">
        <f>L806+M806</f>
        <v>0</v>
      </c>
      <c r="O806" s="257">
        <v>0</v>
      </c>
    </row>
    <row r="807" spans="1:15" ht="64.5" customHeight="1" x14ac:dyDescent="0.2">
      <c r="A807" s="259" t="s">
        <v>1106</v>
      </c>
      <c r="B807" s="271">
        <v>801</v>
      </c>
      <c r="C807" s="252" t="s">
        <v>198</v>
      </c>
      <c r="D807" s="252" t="s">
        <v>192</v>
      </c>
      <c r="E807" s="252" t="s">
        <v>1107</v>
      </c>
      <c r="F807" s="252"/>
      <c r="G807" s="257">
        <v>505.05</v>
      </c>
      <c r="H807" s="257">
        <v>-193.03</v>
      </c>
      <c r="I807" s="257">
        <v>103.7</v>
      </c>
      <c r="J807" s="257">
        <f t="shared" ref="J807" si="712">J808+J809</f>
        <v>-103.7</v>
      </c>
      <c r="K807" s="257">
        <f>L808+L809</f>
        <v>1212.1199999999999</v>
      </c>
      <c r="L807" s="257">
        <f t="shared" ref="L807" si="713">L808+L809</f>
        <v>1212.1199999999999</v>
      </c>
      <c r="M807" s="257">
        <f t="shared" ref="M807:N807" si="714">M808+M809</f>
        <v>-1212.1199999999999</v>
      </c>
      <c r="N807" s="257">
        <f t="shared" si="714"/>
        <v>0</v>
      </c>
      <c r="O807" s="257">
        <f t="shared" ref="O807" si="715">O808+O809</f>
        <v>0</v>
      </c>
    </row>
    <row r="808" spans="1:15" ht="35.25" customHeight="1" x14ac:dyDescent="0.2">
      <c r="A808" s="259" t="s">
        <v>1105</v>
      </c>
      <c r="B808" s="271">
        <v>801</v>
      </c>
      <c r="C808" s="252" t="s">
        <v>198</v>
      </c>
      <c r="D808" s="252" t="s">
        <v>192</v>
      </c>
      <c r="E808" s="252" t="s">
        <v>1107</v>
      </c>
      <c r="F808" s="252" t="s">
        <v>1099</v>
      </c>
      <c r="G808" s="257">
        <v>500</v>
      </c>
      <c r="H808" s="257">
        <v>-191.1</v>
      </c>
      <c r="I808" s="257">
        <v>103.7</v>
      </c>
      <c r="J808" s="257">
        <v>-103.7</v>
      </c>
      <c r="K808" s="257">
        <f>I808+J808</f>
        <v>0</v>
      </c>
      <c r="L808" s="257">
        <v>1200</v>
      </c>
      <c r="M808" s="257">
        <v>-1200</v>
      </c>
      <c r="N808" s="257">
        <f>L808+M808</f>
        <v>0</v>
      </c>
      <c r="O808" s="257">
        <v>0</v>
      </c>
    </row>
    <row r="809" spans="1:15" ht="31.5" customHeight="1" x14ac:dyDescent="0.2">
      <c r="A809" s="259" t="s">
        <v>1108</v>
      </c>
      <c r="B809" s="271">
        <v>801</v>
      </c>
      <c r="C809" s="252" t="s">
        <v>198</v>
      </c>
      <c r="D809" s="252" t="s">
        <v>192</v>
      </c>
      <c r="E809" s="252" t="s">
        <v>1107</v>
      </c>
      <c r="F809" s="252" t="s">
        <v>1099</v>
      </c>
      <c r="G809" s="257">
        <v>5.05</v>
      </c>
      <c r="H809" s="257">
        <v>-1.93</v>
      </c>
      <c r="I809" s="257">
        <v>0</v>
      </c>
      <c r="J809" s="257">
        <v>0</v>
      </c>
      <c r="K809" s="257">
        <f>I809+J809</f>
        <v>0</v>
      </c>
      <c r="L809" s="257">
        <v>12.12</v>
      </c>
      <c r="M809" s="257">
        <v>-12.12</v>
      </c>
      <c r="N809" s="257">
        <f>L809+M809</f>
        <v>0</v>
      </c>
      <c r="O809" s="257">
        <v>0</v>
      </c>
    </row>
    <row r="810" spans="1:15" ht="33" hidden="1" customHeight="1" x14ac:dyDescent="0.2">
      <c r="A810" s="259" t="s">
        <v>1150</v>
      </c>
      <c r="B810" s="271">
        <v>801</v>
      </c>
      <c r="C810" s="252" t="s">
        <v>198</v>
      </c>
      <c r="D810" s="252" t="s">
        <v>192</v>
      </c>
      <c r="E810" s="252" t="s">
        <v>1151</v>
      </c>
      <c r="F810" s="252"/>
      <c r="G810" s="257">
        <v>0</v>
      </c>
      <c r="H810" s="257">
        <v>0</v>
      </c>
      <c r="I810" s="257">
        <v>7128.8890000000001</v>
      </c>
      <c r="J810" s="257">
        <f t="shared" ref="J810" si="716">J811+J812</f>
        <v>-7128.89</v>
      </c>
      <c r="K810" s="257">
        <f>L811+L812</f>
        <v>0</v>
      </c>
      <c r="L810" s="257">
        <f t="shared" ref="L810" si="717">L811+L812</f>
        <v>0</v>
      </c>
      <c r="M810" s="257">
        <f t="shared" ref="M810:N810" si="718">M811+M812</f>
        <v>0</v>
      </c>
      <c r="N810" s="257">
        <f t="shared" si="718"/>
        <v>0</v>
      </c>
      <c r="O810" s="257">
        <f t="shared" ref="O810" si="719">O811+O812</f>
        <v>0</v>
      </c>
    </row>
    <row r="811" spans="1:15" ht="37.5" hidden="1" customHeight="1" x14ac:dyDescent="0.2">
      <c r="A811" s="259" t="s">
        <v>93</v>
      </c>
      <c r="B811" s="271">
        <v>801</v>
      </c>
      <c r="C811" s="252" t="s">
        <v>198</v>
      </c>
      <c r="D811" s="252" t="s">
        <v>192</v>
      </c>
      <c r="E811" s="252" t="s">
        <v>1151</v>
      </c>
      <c r="F811" s="252" t="s">
        <v>1067</v>
      </c>
      <c r="G811" s="257">
        <v>0</v>
      </c>
      <c r="H811" s="257">
        <v>0</v>
      </c>
      <c r="I811" s="257">
        <v>7057.6</v>
      </c>
      <c r="J811" s="257">
        <v>-7057.6</v>
      </c>
      <c r="K811" s="257">
        <f>I811+J811</f>
        <v>0</v>
      </c>
      <c r="L811" s="257">
        <v>0</v>
      </c>
      <c r="M811" s="257">
        <v>0</v>
      </c>
      <c r="N811" s="257">
        <f>L811+M811</f>
        <v>0</v>
      </c>
      <c r="O811" s="257">
        <v>0</v>
      </c>
    </row>
    <row r="812" spans="1:15" ht="33.75" hidden="1" customHeight="1" x14ac:dyDescent="0.2">
      <c r="A812" s="259" t="s">
        <v>93</v>
      </c>
      <c r="B812" s="271">
        <v>801</v>
      </c>
      <c r="C812" s="252" t="s">
        <v>198</v>
      </c>
      <c r="D812" s="252" t="s">
        <v>192</v>
      </c>
      <c r="E812" s="252" t="s">
        <v>1151</v>
      </c>
      <c r="F812" s="252" t="s">
        <v>1067</v>
      </c>
      <c r="G812" s="257">
        <v>0</v>
      </c>
      <c r="H812" s="257">
        <v>0</v>
      </c>
      <c r="I812" s="257">
        <v>71.289000000000001</v>
      </c>
      <c r="J812" s="257">
        <v>-71.290000000000006</v>
      </c>
      <c r="K812" s="257">
        <f>I812+J812</f>
        <v>-1.0000000000047748E-3</v>
      </c>
      <c r="L812" s="257">
        <v>0</v>
      </c>
      <c r="M812" s="257">
        <v>0</v>
      </c>
      <c r="N812" s="257">
        <f>L812+M812</f>
        <v>0</v>
      </c>
      <c r="O812" s="257">
        <v>0</v>
      </c>
    </row>
    <row r="813" spans="1:15" s="430" customFormat="1" ht="20.25" hidden="1" customHeight="1" x14ac:dyDescent="0.2">
      <c r="A813" s="462" t="s">
        <v>224</v>
      </c>
      <c r="B813" s="249">
        <v>801</v>
      </c>
      <c r="C813" s="250" t="s">
        <v>198</v>
      </c>
      <c r="D813" s="250" t="s">
        <v>194</v>
      </c>
      <c r="E813" s="250"/>
      <c r="F813" s="250"/>
      <c r="G813" s="275">
        <v>0</v>
      </c>
      <c r="H813" s="275">
        <v>0</v>
      </c>
      <c r="I813" s="275">
        <v>0</v>
      </c>
      <c r="J813" s="275">
        <f t="shared" ref="J813:O813" si="720">J814</f>
        <v>0</v>
      </c>
      <c r="K813" s="275">
        <f>L814</f>
        <v>0</v>
      </c>
      <c r="L813" s="275">
        <f t="shared" si="720"/>
        <v>0</v>
      </c>
      <c r="M813" s="275">
        <f t="shared" si="720"/>
        <v>0</v>
      </c>
      <c r="N813" s="275">
        <f t="shared" si="720"/>
        <v>0</v>
      </c>
      <c r="O813" s="275">
        <f t="shared" si="720"/>
        <v>0</v>
      </c>
    </row>
    <row r="814" spans="1:15" ht="33.75" hidden="1" customHeight="1" x14ac:dyDescent="0.2">
      <c r="A814" s="259" t="s">
        <v>1148</v>
      </c>
      <c r="B814" s="271">
        <v>801</v>
      </c>
      <c r="C814" s="252" t="s">
        <v>198</v>
      </c>
      <c r="D814" s="252" t="s">
        <v>194</v>
      </c>
      <c r="E814" s="252" t="s">
        <v>1149</v>
      </c>
      <c r="F814" s="252"/>
      <c r="G814" s="257">
        <v>0</v>
      </c>
      <c r="H814" s="257">
        <v>0</v>
      </c>
      <c r="I814" s="257">
        <v>0</v>
      </c>
      <c r="J814" s="257">
        <f t="shared" ref="J814" si="721">J815+J816</f>
        <v>0</v>
      </c>
      <c r="K814" s="257">
        <f>L815+L816</f>
        <v>0</v>
      </c>
      <c r="L814" s="257">
        <f t="shared" ref="L814" si="722">L815+L816</f>
        <v>0</v>
      </c>
      <c r="M814" s="257">
        <f t="shared" ref="M814:N814" si="723">M815+M816</f>
        <v>0</v>
      </c>
      <c r="N814" s="257">
        <f t="shared" si="723"/>
        <v>0</v>
      </c>
      <c r="O814" s="257">
        <f t="shared" ref="O814" si="724">O815+O816</f>
        <v>0</v>
      </c>
    </row>
    <row r="815" spans="1:15" ht="18.75" hidden="1" customHeight="1" x14ac:dyDescent="0.2">
      <c r="A815" s="259" t="s">
        <v>93</v>
      </c>
      <c r="B815" s="271">
        <v>801</v>
      </c>
      <c r="C815" s="252" t="s">
        <v>198</v>
      </c>
      <c r="D815" s="252" t="s">
        <v>194</v>
      </c>
      <c r="E815" s="252" t="s">
        <v>1149</v>
      </c>
      <c r="F815" s="252" t="s">
        <v>94</v>
      </c>
      <c r="G815" s="257">
        <v>0</v>
      </c>
      <c r="H815" s="257">
        <v>0</v>
      </c>
      <c r="I815" s="257">
        <v>0</v>
      </c>
      <c r="J815" s="257">
        <v>0</v>
      </c>
      <c r="K815" s="257">
        <f>I815+J815</f>
        <v>0</v>
      </c>
      <c r="L815" s="257">
        <f>J815+K815</f>
        <v>0</v>
      </c>
      <c r="M815" s="257">
        <v>0</v>
      </c>
      <c r="N815" s="257">
        <f>L815+M815</f>
        <v>0</v>
      </c>
      <c r="O815" s="257">
        <f>M815+N815</f>
        <v>0</v>
      </c>
    </row>
    <row r="816" spans="1:15" ht="18.75" hidden="1" customHeight="1" x14ac:dyDescent="0.2">
      <c r="A816" s="259" t="s">
        <v>1098</v>
      </c>
      <c r="B816" s="271">
        <v>801</v>
      </c>
      <c r="C816" s="252" t="s">
        <v>198</v>
      </c>
      <c r="D816" s="252" t="s">
        <v>194</v>
      </c>
      <c r="E816" s="252" t="s">
        <v>1149</v>
      </c>
      <c r="F816" s="252" t="s">
        <v>94</v>
      </c>
      <c r="G816" s="257">
        <v>0</v>
      </c>
      <c r="H816" s="257">
        <v>0</v>
      </c>
      <c r="I816" s="257">
        <v>0</v>
      </c>
      <c r="J816" s="257">
        <v>0</v>
      </c>
      <c r="K816" s="257">
        <f>I816+J816</f>
        <v>0</v>
      </c>
      <c r="L816" s="257">
        <f>J816+K816</f>
        <v>0</v>
      </c>
      <c r="M816" s="257">
        <v>0</v>
      </c>
      <c r="N816" s="257">
        <f>L816+M816</f>
        <v>0</v>
      </c>
      <c r="O816" s="257">
        <f>M816+N816</f>
        <v>0</v>
      </c>
    </row>
    <row r="817" spans="1:15" ht="15" customHeight="1" x14ac:dyDescent="0.2">
      <c r="A817" s="268" t="s">
        <v>910</v>
      </c>
      <c r="B817" s="249">
        <v>801</v>
      </c>
      <c r="C817" s="250" t="s">
        <v>202</v>
      </c>
      <c r="D817" s="252"/>
      <c r="E817" s="252"/>
      <c r="F817" s="252"/>
      <c r="G817" s="275" t="e">
        <v>#REF!</v>
      </c>
      <c r="H817" s="275">
        <v>270</v>
      </c>
      <c r="I817" s="275">
        <v>830</v>
      </c>
      <c r="J817" s="275">
        <f t="shared" ref="J817" si="725">J820</f>
        <v>0</v>
      </c>
      <c r="K817" s="275">
        <f>L820</f>
        <v>1400</v>
      </c>
      <c r="L817" s="275">
        <f t="shared" ref="L817" si="726">L820</f>
        <v>1400</v>
      </c>
      <c r="M817" s="275">
        <f t="shared" ref="M817:N817" si="727">M820</f>
        <v>0</v>
      </c>
      <c r="N817" s="275">
        <f t="shared" si="727"/>
        <v>1400</v>
      </c>
      <c r="O817" s="275">
        <f t="shared" ref="O817" si="728">O820</f>
        <v>1400</v>
      </c>
    </row>
    <row r="818" spans="1:15" ht="18.75" hidden="1" customHeight="1" x14ac:dyDescent="0.2">
      <c r="A818" s="268" t="s">
        <v>227</v>
      </c>
      <c r="B818" s="249">
        <v>801</v>
      </c>
      <c r="C818" s="250" t="s">
        <v>202</v>
      </c>
      <c r="D818" s="250" t="s">
        <v>190</v>
      </c>
      <c r="E818" s="252"/>
      <c r="F818" s="252"/>
      <c r="G818" s="275">
        <v>0</v>
      </c>
      <c r="H818" s="275">
        <v>0</v>
      </c>
      <c r="I818" s="275">
        <v>0</v>
      </c>
      <c r="J818" s="275">
        <f t="shared" ref="J818:O818" si="729">J819</f>
        <v>0</v>
      </c>
      <c r="K818" s="275">
        <f>L819</f>
        <v>0</v>
      </c>
      <c r="L818" s="275">
        <f t="shared" si="729"/>
        <v>0</v>
      </c>
      <c r="M818" s="275">
        <f t="shared" si="729"/>
        <v>0</v>
      </c>
      <c r="N818" s="275">
        <f t="shared" si="729"/>
        <v>0</v>
      </c>
      <c r="O818" s="275">
        <f t="shared" si="729"/>
        <v>0</v>
      </c>
    </row>
    <row r="819" spans="1:15" ht="18.75" hidden="1" customHeight="1" x14ac:dyDescent="0.2">
      <c r="A819" s="259" t="s">
        <v>78</v>
      </c>
      <c r="B819" s="271">
        <v>801</v>
      </c>
      <c r="C819" s="252" t="s">
        <v>202</v>
      </c>
      <c r="D819" s="252" t="s">
        <v>190</v>
      </c>
      <c r="E819" s="252" t="s">
        <v>749</v>
      </c>
      <c r="F819" s="252" t="s">
        <v>79</v>
      </c>
      <c r="G819" s="257">
        <v>0</v>
      </c>
      <c r="H819" s="257">
        <v>0</v>
      </c>
      <c r="I819" s="257">
        <v>0</v>
      </c>
      <c r="J819" s="257">
        <f t="shared" si="699"/>
        <v>0</v>
      </c>
      <c r="K819" s="257">
        <f t="shared" si="699"/>
        <v>0</v>
      </c>
      <c r="L819" s="257">
        <f t="shared" si="699"/>
        <v>0</v>
      </c>
      <c r="M819" s="257">
        <f>L819+L819</f>
        <v>0</v>
      </c>
      <c r="N819" s="257">
        <f>L819+M819</f>
        <v>0</v>
      </c>
      <c r="O819" s="257">
        <f t="shared" ref="O819" si="730">M819+N819</f>
        <v>0</v>
      </c>
    </row>
    <row r="820" spans="1:15" s="430" customFormat="1" ht="15.75" customHeight="1" x14ac:dyDescent="0.2">
      <c r="A820" s="379" t="s">
        <v>228</v>
      </c>
      <c r="B820" s="249">
        <v>801</v>
      </c>
      <c r="C820" s="250" t="s">
        <v>202</v>
      </c>
      <c r="D820" s="250" t="s">
        <v>192</v>
      </c>
      <c r="E820" s="250"/>
      <c r="F820" s="250"/>
      <c r="G820" s="275">
        <v>830</v>
      </c>
      <c r="H820" s="275">
        <v>270</v>
      </c>
      <c r="I820" s="275">
        <v>830</v>
      </c>
      <c r="J820" s="275">
        <f t="shared" ref="J820:O820" si="731">J821</f>
        <v>0</v>
      </c>
      <c r="K820" s="275">
        <f>L821</f>
        <v>1400</v>
      </c>
      <c r="L820" s="275">
        <f t="shared" si="731"/>
        <v>1400</v>
      </c>
      <c r="M820" s="275">
        <f t="shared" si="731"/>
        <v>0</v>
      </c>
      <c r="N820" s="275">
        <f t="shared" si="731"/>
        <v>1400</v>
      </c>
      <c r="O820" s="275">
        <f t="shared" si="731"/>
        <v>1400</v>
      </c>
    </row>
    <row r="821" spans="1:15" ht="30" x14ac:dyDescent="0.2">
      <c r="A821" s="273" t="s">
        <v>976</v>
      </c>
      <c r="B821" s="271" t="s">
        <v>146</v>
      </c>
      <c r="C821" s="252" t="s">
        <v>202</v>
      </c>
      <c r="D821" s="252" t="s">
        <v>192</v>
      </c>
      <c r="E821" s="252" t="s">
        <v>784</v>
      </c>
      <c r="F821" s="252" t="s">
        <v>1166</v>
      </c>
      <c r="G821" s="257">
        <v>830</v>
      </c>
      <c r="H821" s="257">
        <v>270</v>
      </c>
      <c r="I821" s="257">
        <v>830</v>
      </c>
      <c r="J821" s="257">
        <v>0</v>
      </c>
      <c r="K821" s="257">
        <f t="shared" ref="K821" si="732">I821+J821</f>
        <v>830</v>
      </c>
      <c r="L821" s="257">
        <v>1400</v>
      </c>
      <c r="M821" s="257">
        <v>0</v>
      </c>
      <c r="N821" s="257">
        <f>L821+M821</f>
        <v>1400</v>
      </c>
      <c r="O821" s="257">
        <v>1400</v>
      </c>
    </row>
    <row r="822" spans="1:15" s="430" customFormat="1" ht="14.25" x14ac:dyDescent="0.2">
      <c r="A822" s="462" t="s">
        <v>65</v>
      </c>
      <c r="B822" s="249">
        <v>801</v>
      </c>
      <c r="C822" s="250">
        <v>10</v>
      </c>
      <c r="D822" s="250"/>
      <c r="E822" s="250"/>
      <c r="F822" s="250"/>
      <c r="G822" s="275">
        <v>2432.4</v>
      </c>
      <c r="H822" s="275">
        <v>-1113.8999999999999</v>
      </c>
      <c r="I822" s="275">
        <v>1270.9000000000001</v>
      </c>
      <c r="J822" s="275">
        <f t="shared" ref="J822" si="733">J823+J826</f>
        <v>3185.83</v>
      </c>
      <c r="K822" s="275">
        <f>L823+L826</f>
        <v>2787.27</v>
      </c>
      <c r="L822" s="275">
        <f>L823+L826</f>
        <v>2787.27</v>
      </c>
      <c r="M822" s="275">
        <f t="shared" ref="M822:O822" si="734">M823+M826</f>
        <v>-1507.27</v>
      </c>
      <c r="N822" s="275">
        <f t="shared" si="734"/>
        <v>1280</v>
      </c>
      <c r="O822" s="275">
        <f t="shared" si="734"/>
        <v>3410.7</v>
      </c>
    </row>
    <row r="823" spans="1:15" ht="13.5" customHeight="1" x14ac:dyDescent="0.2">
      <c r="A823" s="462" t="s">
        <v>275</v>
      </c>
      <c r="B823" s="249">
        <v>801</v>
      </c>
      <c r="C823" s="250">
        <v>10</v>
      </c>
      <c r="D823" s="250" t="s">
        <v>190</v>
      </c>
      <c r="E823" s="250"/>
      <c r="F823" s="250"/>
      <c r="G823" s="275">
        <v>383</v>
      </c>
      <c r="H823" s="275">
        <v>17</v>
      </c>
      <c r="I823" s="275">
        <v>400</v>
      </c>
      <c r="J823" s="275">
        <f t="shared" ref="J823:M824" si="735">J824</f>
        <v>20</v>
      </c>
      <c r="K823" s="275">
        <f>L824</f>
        <v>420</v>
      </c>
      <c r="L823" s="275">
        <f t="shared" ref="L823:O824" si="736">L824</f>
        <v>420</v>
      </c>
      <c r="M823" s="275">
        <f t="shared" si="735"/>
        <v>360</v>
      </c>
      <c r="N823" s="275">
        <f t="shared" si="736"/>
        <v>780</v>
      </c>
      <c r="O823" s="275">
        <f t="shared" si="736"/>
        <v>865</v>
      </c>
    </row>
    <row r="824" spans="1:15" ht="16.5" customHeight="1" x14ac:dyDescent="0.2">
      <c r="A824" s="259" t="s">
        <v>470</v>
      </c>
      <c r="B824" s="271">
        <v>801</v>
      </c>
      <c r="C824" s="252">
        <v>10</v>
      </c>
      <c r="D824" s="252" t="s">
        <v>190</v>
      </c>
      <c r="E824" s="251" t="s">
        <v>794</v>
      </c>
      <c r="F824" s="252"/>
      <c r="G824" s="257">
        <v>383</v>
      </c>
      <c r="H824" s="257">
        <v>17</v>
      </c>
      <c r="I824" s="257">
        <v>400</v>
      </c>
      <c r="J824" s="257">
        <f t="shared" si="735"/>
        <v>20</v>
      </c>
      <c r="K824" s="257">
        <f>L825</f>
        <v>420</v>
      </c>
      <c r="L824" s="257">
        <f t="shared" si="736"/>
        <v>420</v>
      </c>
      <c r="M824" s="257">
        <f t="shared" si="736"/>
        <v>360</v>
      </c>
      <c r="N824" s="257">
        <f t="shared" si="736"/>
        <v>780</v>
      </c>
      <c r="O824" s="257">
        <f t="shared" si="736"/>
        <v>865</v>
      </c>
    </row>
    <row r="825" spans="1:15" x14ac:dyDescent="0.2">
      <c r="A825" s="259" t="s">
        <v>1307</v>
      </c>
      <c r="B825" s="271">
        <v>801</v>
      </c>
      <c r="C825" s="252">
        <v>10</v>
      </c>
      <c r="D825" s="252" t="s">
        <v>190</v>
      </c>
      <c r="E825" s="251" t="s">
        <v>794</v>
      </c>
      <c r="F825" s="252" t="s">
        <v>1306</v>
      </c>
      <c r="G825" s="257">
        <v>383</v>
      </c>
      <c r="H825" s="257">
        <v>17</v>
      </c>
      <c r="I825" s="257">
        <v>400</v>
      </c>
      <c r="J825" s="257">
        <v>20</v>
      </c>
      <c r="K825" s="257">
        <f t="shared" ref="K825" si="737">I825+J825</f>
        <v>420</v>
      </c>
      <c r="L825" s="257">
        <v>420</v>
      </c>
      <c r="M825" s="257">
        <v>360</v>
      </c>
      <c r="N825" s="257">
        <f>L825+M825</f>
        <v>780</v>
      </c>
      <c r="O825" s="257">
        <v>865</v>
      </c>
    </row>
    <row r="826" spans="1:15" ht="14.25" x14ac:dyDescent="0.2">
      <c r="A826" s="462" t="s">
        <v>277</v>
      </c>
      <c r="B826" s="249">
        <v>801</v>
      </c>
      <c r="C826" s="250">
        <v>10</v>
      </c>
      <c r="D826" s="250" t="s">
        <v>194</v>
      </c>
      <c r="E826" s="250"/>
      <c r="F826" s="250"/>
      <c r="G826" s="275">
        <v>2049.4</v>
      </c>
      <c r="H826" s="275">
        <v>-1130.8999999999999</v>
      </c>
      <c r="I826" s="275">
        <v>870.9</v>
      </c>
      <c r="J826" s="275">
        <f t="shared" ref="J826:O826" si="738">J827</f>
        <v>3165.83</v>
      </c>
      <c r="K826" s="275">
        <f>L827</f>
        <v>2367.27</v>
      </c>
      <c r="L826" s="275">
        <f>L827</f>
        <v>2367.27</v>
      </c>
      <c r="M826" s="275">
        <f t="shared" si="738"/>
        <v>-1867.27</v>
      </c>
      <c r="N826" s="275">
        <f t="shared" si="738"/>
        <v>500</v>
      </c>
      <c r="O826" s="275">
        <f t="shared" si="738"/>
        <v>2545.6999999999998</v>
      </c>
    </row>
    <row r="827" spans="1:15" ht="31.5" customHeight="1" x14ac:dyDescent="0.2">
      <c r="A827" s="259" t="s">
        <v>996</v>
      </c>
      <c r="B827" s="271">
        <v>801</v>
      </c>
      <c r="C827" s="252" t="s">
        <v>214</v>
      </c>
      <c r="D827" s="252" t="s">
        <v>194</v>
      </c>
      <c r="E827" s="252" t="s">
        <v>865</v>
      </c>
      <c r="F827" s="252"/>
      <c r="G827" s="257">
        <v>2049.4</v>
      </c>
      <c r="H827" s="257">
        <v>-1130.8999999999999</v>
      </c>
      <c r="I827" s="257">
        <v>870.9</v>
      </c>
      <c r="J827" s="257">
        <f t="shared" ref="J827" si="739">J829+J830+J833+J838</f>
        <v>3165.83</v>
      </c>
      <c r="K827" s="257">
        <f>L829+L830+L833+L838</f>
        <v>2367.27</v>
      </c>
      <c r="L827" s="257">
        <f>L829+L830+L833+L838</f>
        <v>2367.27</v>
      </c>
      <c r="M827" s="257">
        <f t="shared" ref="M827:O827" si="740">M829+M830+M833+M838</f>
        <v>-1867.27</v>
      </c>
      <c r="N827" s="257">
        <f t="shared" si="740"/>
        <v>500</v>
      </c>
      <c r="O827" s="257">
        <f t="shared" si="740"/>
        <v>2545.6999999999998</v>
      </c>
    </row>
    <row r="828" spans="1:15" ht="17.25" hidden="1" customHeight="1" x14ac:dyDescent="0.2">
      <c r="A828" s="259" t="s">
        <v>724</v>
      </c>
      <c r="B828" s="271">
        <v>801</v>
      </c>
      <c r="C828" s="252" t="s">
        <v>494</v>
      </c>
      <c r="D828" s="252" t="s">
        <v>194</v>
      </c>
      <c r="E828" s="252" t="s">
        <v>793</v>
      </c>
      <c r="F828" s="252" t="s">
        <v>94</v>
      </c>
      <c r="G828" s="257">
        <v>0</v>
      </c>
      <c r="H828" s="257">
        <v>0</v>
      </c>
      <c r="I828" s="257">
        <v>0</v>
      </c>
      <c r="J828" s="257">
        <f t="shared" si="699"/>
        <v>0</v>
      </c>
      <c r="K828" s="257">
        <f t="shared" si="699"/>
        <v>0</v>
      </c>
      <c r="L828" s="257">
        <f t="shared" si="699"/>
        <v>0</v>
      </c>
      <c r="M828" s="257">
        <f>L828+L828</f>
        <v>0</v>
      </c>
      <c r="N828" s="257">
        <f>L828+M828</f>
        <v>0</v>
      </c>
      <c r="O828" s="257">
        <f t="shared" ref="O828" si="741">M828+N828</f>
        <v>0</v>
      </c>
    </row>
    <row r="829" spans="1:15" ht="18.75" customHeight="1" x14ac:dyDescent="0.2">
      <c r="A829" s="259" t="s">
        <v>724</v>
      </c>
      <c r="B829" s="271">
        <v>801</v>
      </c>
      <c r="C829" s="252" t="s">
        <v>494</v>
      </c>
      <c r="D829" s="252" t="s">
        <v>194</v>
      </c>
      <c r="E829" s="252" t="s">
        <v>793</v>
      </c>
      <c r="F829" s="252" t="s">
        <v>137</v>
      </c>
      <c r="G829" s="257">
        <v>400</v>
      </c>
      <c r="H829" s="257">
        <v>0</v>
      </c>
      <c r="I829" s="257">
        <v>400</v>
      </c>
      <c r="J829" s="257">
        <v>0</v>
      </c>
      <c r="K829" s="257">
        <f t="shared" si="699"/>
        <v>400</v>
      </c>
      <c r="L829" s="257">
        <v>400</v>
      </c>
      <c r="M829" s="257">
        <v>0</v>
      </c>
      <c r="N829" s="257">
        <f>L829+M829</f>
        <v>400</v>
      </c>
      <c r="O829" s="257">
        <v>400</v>
      </c>
    </row>
    <row r="830" spans="1:15" ht="17.25" customHeight="1" x14ac:dyDescent="0.2">
      <c r="A830" s="259" t="s">
        <v>738</v>
      </c>
      <c r="B830" s="271">
        <v>801</v>
      </c>
      <c r="C830" s="252" t="s">
        <v>494</v>
      </c>
      <c r="D830" s="252" t="s">
        <v>194</v>
      </c>
      <c r="E830" s="252" t="s">
        <v>792</v>
      </c>
      <c r="F830" s="252" t="s">
        <v>94</v>
      </c>
      <c r="G830" s="257">
        <v>100</v>
      </c>
      <c r="H830" s="257">
        <v>0</v>
      </c>
      <c r="I830" s="257">
        <v>100</v>
      </c>
      <c r="J830" s="257">
        <v>0</v>
      </c>
      <c r="K830" s="257">
        <f t="shared" si="699"/>
        <v>100</v>
      </c>
      <c r="L830" s="257">
        <v>100</v>
      </c>
      <c r="M830" s="257">
        <v>0</v>
      </c>
      <c r="N830" s="257">
        <f>L830+M830</f>
        <v>100</v>
      </c>
      <c r="O830" s="257">
        <v>100</v>
      </c>
    </row>
    <row r="831" spans="1:15" ht="17.25" hidden="1" customHeight="1" x14ac:dyDescent="0.2">
      <c r="A831" s="259" t="s">
        <v>931</v>
      </c>
      <c r="B831" s="271">
        <v>801</v>
      </c>
      <c r="C831" s="252">
        <v>10</v>
      </c>
      <c r="D831" s="252" t="s">
        <v>194</v>
      </c>
      <c r="E831" s="252" t="s">
        <v>930</v>
      </c>
      <c r="F831" s="252"/>
      <c r="G831" s="257">
        <v>18</v>
      </c>
      <c r="H831" s="257">
        <v>29</v>
      </c>
      <c r="I831" s="257">
        <v>47</v>
      </c>
      <c r="J831" s="257">
        <f t="shared" si="699"/>
        <v>76</v>
      </c>
      <c r="K831" s="257">
        <f t="shared" si="699"/>
        <v>123</v>
      </c>
      <c r="L831" s="257">
        <f t="shared" si="699"/>
        <v>199</v>
      </c>
      <c r="M831" s="257">
        <f>L831+L831</f>
        <v>398</v>
      </c>
      <c r="N831" s="257">
        <f>L831+M831</f>
        <v>597</v>
      </c>
      <c r="O831" s="257">
        <f t="shared" ref="O831:O832" si="742">M831+N831</f>
        <v>995</v>
      </c>
    </row>
    <row r="832" spans="1:15" ht="17.25" hidden="1" customHeight="1" x14ac:dyDescent="0.2">
      <c r="A832" s="259" t="s">
        <v>304</v>
      </c>
      <c r="B832" s="271">
        <v>801</v>
      </c>
      <c r="C832" s="252">
        <v>10</v>
      </c>
      <c r="D832" s="252" t="s">
        <v>194</v>
      </c>
      <c r="E832" s="252" t="s">
        <v>930</v>
      </c>
      <c r="F832" s="252" t="s">
        <v>305</v>
      </c>
      <c r="G832" s="257">
        <v>18</v>
      </c>
      <c r="H832" s="257">
        <v>29</v>
      </c>
      <c r="I832" s="257">
        <v>47</v>
      </c>
      <c r="J832" s="257">
        <f t="shared" si="699"/>
        <v>76</v>
      </c>
      <c r="K832" s="257">
        <f t="shared" si="699"/>
        <v>123</v>
      </c>
      <c r="L832" s="257">
        <f t="shared" si="699"/>
        <v>199</v>
      </c>
      <c r="M832" s="257">
        <f>L832+L832</f>
        <v>398</v>
      </c>
      <c r="N832" s="257">
        <f>L832+M832</f>
        <v>597</v>
      </c>
      <c r="O832" s="257">
        <f t="shared" si="742"/>
        <v>995</v>
      </c>
    </row>
    <row r="833" spans="1:15" ht="32.25" customHeight="1" x14ac:dyDescent="0.2">
      <c r="A833" s="259" t="s">
        <v>1117</v>
      </c>
      <c r="B833" s="271">
        <v>801</v>
      </c>
      <c r="C833" s="252">
        <v>10</v>
      </c>
      <c r="D833" s="252" t="s">
        <v>194</v>
      </c>
      <c r="E833" s="252" t="s">
        <v>1140</v>
      </c>
      <c r="F833" s="252"/>
      <c r="G833" s="257">
        <v>1549.4</v>
      </c>
      <c r="H833" s="257">
        <v>-1130.8999999999999</v>
      </c>
      <c r="I833" s="257">
        <v>370.9</v>
      </c>
      <c r="J833" s="257">
        <f>J834+J837</f>
        <v>392.63</v>
      </c>
      <c r="K833" s="257">
        <f>L834+L837</f>
        <v>1867.27</v>
      </c>
      <c r="L833" s="257">
        <f t="shared" ref="L833" si="743">L834+L837</f>
        <v>1867.27</v>
      </c>
      <c r="M833" s="257">
        <f>M834+M837</f>
        <v>-1867.27</v>
      </c>
      <c r="N833" s="257">
        <f t="shared" ref="N833:O833" si="744">N834+N837</f>
        <v>0</v>
      </c>
      <c r="O833" s="257">
        <f t="shared" si="744"/>
        <v>0</v>
      </c>
    </row>
    <row r="834" spans="1:15" ht="15" customHeight="1" x14ac:dyDescent="0.2">
      <c r="A834" s="259" t="s">
        <v>304</v>
      </c>
      <c r="B834" s="271">
        <v>801</v>
      </c>
      <c r="C834" s="252">
        <v>10</v>
      </c>
      <c r="D834" s="252" t="s">
        <v>194</v>
      </c>
      <c r="E834" s="252" t="s">
        <v>1140</v>
      </c>
      <c r="F834" s="252" t="s">
        <v>305</v>
      </c>
      <c r="G834" s="257">
        <v>1533.9</v>
      </c>
      <c r="H834" s="257">
        <v>-1119.5999999999999</v>
      </c>
      <c r="I834" s="257">
        <v>370.9</v>
      </c>
      <c r="J834" s="257">
        <v>385</v>
      </c>
      <c r="K834" s="257">
        <f>I834+J834</f>
        <v>755.9</v>
      </c>
      <c r="L834" s="257">
        <v>1848.6</v>
      </c>
      <c r="M834" s="257">
        <v>-1848.6</v>
      </c>
      <c r="N834" s="257">
        <f>L834+M834</f>
        <v>0</v>
      </c>
      <c r="O834" s="257">
        <v>0</v>
      </c>
    </row>
    <row r="835" spans="1:15" ht="48.75" hidden="1" customHeight="1" x14ac:dyDescent="0.2">
      <c r="A835" s="259" t="s">
        <v>304</v>
      </c>
      <c r="B835" s="271">
        <v>801</v>
      </c>
      <c r="C835" s="252">
        <v>10</v>
      </c>
      <c r="D835" s="252" t="s">
        <v>194</v>
      </c>
      <c r="E835" s="252" t="s">
        <v>789</v>
      </c>
      <c r="F835" s="252"/>
      <c r="G835" s="257">
        <v>18</v>
      </c>
      <c r="H835" s="257">
        <v>29</v>
      </c>
      <c r="I835" s="257">
        <v>123</v>
      </c>
      <c r="J835" s="257">
        <f t="shared" si="699"/>
        <v>152</v>
      </c>
      <c r="K835" s="257">
        <f t="shared" ref="K835:L837" si="745">I835+J835</f>
        <v>275</v>
      </c>
      <c r="L835" s="257">
        <f t="shared" si="745"/>
        <v>427</v>
      </c>
      <c r="M835" s="257">
        <f>L835+L835</f>
        <v>854</v>
      </c>
      <c r="N835" s="257">
        <f>L835+M835</f>
        <v>1281</v>
      </c>
      <c r="O835" s="257">
        <f t="shared" ref="O835:O836" si="746">M835+N835</f>
        <v>2135</v>
      </c>
    </row>
    <row r="836" spans="1:15" ht="23.25" hidden="1" customHeight="1" x14ac:dyDescent="0.2">
      <c r="A836" s="259" t="s">
        <v>304</v>
      </c>
      <c r="B836" s="271">
        <v>801</v>
      </c>
      <c r="C836" s="252">
        <v>10</v>
      </c>
      <c r="D836" s="252" t="s">
        <v>194</v>
      </c>
      <c r="E836" s="252" t="s">
        <v>789</v>
      </c>
      <c r="F836" s="252" t="s">
        <v>305</v>
      </c>
      <c r="G836" s="257">
        <v>18</v>
      </c>
      <c r="H836" s="257">
        <v>29</v>
      </c>
      <c r="I836" s="257">
        <v>123</v>
      </c>
      <c r="J836" s="257">
        <f t="shared" si="699"/>
        <v>152</v>
      </c>
      <c r="K836" s="257">
        <f t="shared" si="745"/>
        <v>275</v>
      </c>
      <c r="L836" s="257">
        <f t="shared" si="745"/>
        <v>427</v>
      </c>
      <c r="M836" s="257">
        <f>L836+L836</f>
        <v>854</v>
      </c>
      <c r="N836" s="257">
        <f>L836+M836</f>
        <v>1281</v>
      </c>
      <c r="O836" s="257">
        <f t="shared" si="746"/>
        <v>2135</v>
      </c>
    </row>
    <row r="837" spans="1:15" ht="17.25" customHeight="1" x14ac:dyDescent="0.2">
      <c r="A837" s="259" t="s">
        <v>1118</v>
      </c>
      <c r="B837" s="271">
        <v>801</v>
      </c>
      <c r="C837" s="252">
        <v>10</v>
      </c>
      <c r="D837" s="252" t="s">
        <v>194</v>
      </c>
      <c r="E837" s="252" t="s">
        <v>1140</v>
      </c>
      <c r="F837" s="252" t="s">
        <v>305</v>
      </c>
      <c r="G837" s="257">
        <v>15.5</v>
      </c>
      <c r="H837" s="257">
        <v>-11.3</v>
      </c>
      <c r="I837" s="257">
        <v>0</v>
      </c>
      <c r="J837" s="257">
        <v>7.63</v>
      </c>
      <c r="K837" s="257">
        <f t="shared" si="745"/>
        <v>7.63</v>
      </c>
      <c r="L837" s="257">
        <v>18.670000000000002</v>
      </c>
      <c r="M837" s="257">
        <v>-18.670000000000002</v>
      </c>
      <c r="N837" s="257">
        <f>L837+M837</f>
        <v>0</v>
      </c>
      <c r="O837" s="257">
        <v>0</v>
      </c>
    </row>
    <row r="838" spans="1:15" ht="45.75" customHeight="1" x14ac:dyDescent="0.2">
      <c r="A838" s="368" t="s">
        <v>1287</v>
      </c>
      <c r="B838" s="271">
        <v>801</v>
      </c>
      <c r="C838" s="252">
        <v>10</v>
      </c>
      <c r="D838" s="252" t="s">
        <v>194</v>
      </c>
      <c r="E838" s="252" t="s">
        <v>1288</v>
      </c>
      <c r="F838" s="252"/>
      <c r="G838" s="257"/>
      <c r="H838" s="257"/>
      <c r="I838" s="257">
        <v>0</v>
      </c>
      <c r="J838" s="257">
        <f t="shared" ref="J838:O838" si="747">J839</f>
        <v>2773.2</v>
      </c>
      <c r="K838" s="257">
        <f>L839</f>
        <v>0</v>
      </c>
      <c r="L838" s="257">
        <f t="shared" si="747"/>
        <v>0</v>
      </c>
      <c r="M838" s="257">
        <f t="shared" si="747"/>
        <v>0</v>
      </c>
      <c r="N838" s="257">
        <f t="shared" si="747"/>
        <v>0</v>
      </c>
      <c r="O838" s="257">
        <f t="shared" si="747"/>
        <v>2045.7</v>
      </c>
    </row>
    <row r="839" spans="1:15" ht="17.25" customHeight="1" x14ac:dyDescent="0.2">
      <c r="A839" s="259" t="s">
        <v>304</v>
      </c>
      <c r="B839" s="271">
        <v>801</v>
      </c>
      <c r="C839" s="252">
        <v>10</v>
      </c>
      <c r="D839" s="252" t="s">
        <v>194</v>
      </c>
      <c r="E839" s="252" t="s">
        <v>1288</v>
      </c>
      <c r="F839" s="252" t="s">
        <v>305</v>
      </c>
      <c r="G839" s="257"/>
      <c r="H839" s="257"/>
      <c r="I839" s="257">
        <v>0</v>
      </c>
      <c r="J839" s="257">
        <v>2773.2</v>
      </c>
      <c r="K839" s="257">
        <f>I839+J839</f>
        <v>2773.2</v>
      </c>
      <c r="L839" s="257">
        <v>0</v>
      </c>
      <c r="M839" s="257">
        <v>0</v>
      </c>
      <c r="N839" s="257">
        <f>L839+M839</f>
        <v>0</v>
      </c>
      <c r="O839" s="257">
        <v>2045.7</v>
      </c>
    </row>
    <row r="840" spans="1:15" s="430" customFormat="1" ht="14.25" x14ac:dyDescent="0.2">
      <c r="A840" s="462" t="s">
        <v>127</v>
      </c>
      <c r="B840" s="249">
        <v>801</v>
      </c>
      <c r="C840" s="250" t="s">
        <v>205</v>
      </c>
      <c r="D840" s="250"/>
      <c r="E840" s="250"/>
      <c r="F840" s="250"/>
      <c r="G840" s="275">
        <v>4998</v>
      </c>
      <c r="H840" s="275">
        <v>-551</v>
      </c>
      <c r="I840" s="275">
        <v>4418</v>
      </c>
      <c r="J840" s="275">
        <f t="shared" ref="J840:O840" si="748">J841</f>
        <v>956</v>
      </c>
      <c r="K840" s="275">
        <f>L841</f>
        <v>5374</v>
      </c>
      <c r="L840" s="275">
        <f t="shared" si="748"/>
        <v>5374</v>
      </c>
      <c r="M840" s="275">
        <f t="shared" si="748"/>
        <v>0</v>
      </c>
      <c r="N840" s="275">
        <f t="shared" si="748"/>
        <v>5374</v>
      </c>
      <c r="O840" s="275">
        <f t="shared" si="748"/>
        <v>5374</v>
      </c>
    </row>
    <row r="841" spans="1:15" ht="18.75" customHeight="1" x14ac:dyDescent="0.2">
      <c r="A841" s="462" t="s">
        <v>1104</v>
      </c>
      <c r="B841" s="249">
        <v>801</v>
      </c>
      <c r="C841" s="250" t="s">
        <v>205</v>
      </c>
      <c r="D841" s="250" t="s">
        <v>192</v>
      </c>
      <c r="E841" s="250"/>
      <c r="F841" s="250"/>
      <c r="G841" s="275">
        <v>4998</v>
      </c>
      <c r="H841" s="275">
        <v>-551</v>
      </c>
      <c r="I841" s="275">
        <v>4418</v>
      </c>
      <c r="J841" s="275">
        <f t="shared" ref="J841" si="749">J1004+J1006+J1005</f>
        <v>956</v>
      </c>
      <c r="K841" s="275">
        <f>L1004+L1006+L1005</f>
        <v>5374</v>
      </c>
      <c r="L841" s="275">
        <f t="shared" ref="L841" si="750">L1004+L1006+L1005</f>
        <v>5374</v>
      </c>
      <c r="M841" s="275">
        <f t="shared" ref="M841:N841" si="751">M1004+M1006+M1005</f>
        <v>0</v>
      </c>
      <c r="N841" s="275">
        <f t="shared" si="751"/>
        <v>5374</v>
      </c>
      <c r="O841" s="275">
        <f t="shared" ref="O841" si="752">O1004+O1006+O1005</f>
        <v>5374</v>
      </c>
    </row>
    <row r="842" spans="1:15" hidden="1" x14ac:dyDescent="0.2">
      <c r="A842" s="259" t="s">
        <v>128</v>
      </c>
      <c r="B842" s="271">
        <v>801</v>
      </c>
      <c r="C842" s="252" t="s">
        <v>205</v>
      </c>
      <c r="D842" s="252" t="s">
        <v>192</v>
      </c>
      <c r="E842" s="252" t="s">
        <v>129</v>
      </c>
      <c r="F842" s="252"/>
      <c r="G842" s="257" t="e">
        <v>#REF!</v>
      </c>
      <c r="H842" s="257" t="e">
        <v>#REF!</v>
      </c>
      <c r="I842" s="257" t="e">
        <v>#REF!</v>
      </c>
      <c r="J842" s="257" t="e">
        <f t="shared" si="699"/>
        <v>#REF!</v>
      </c>
      <c r="K842" s="257" t="e">
        <f t="shared" si="699"/>
        <v>#REF!</v>
      </c>
      <c r="L842" s="257" t="e">
        <f t="shared" si="699"/>
        <v>#REF!</v>
      </c>
      <c r="M842" s="257" t="e">
        <f t="shared" ref="M842:M873" si="753">L842+L842</f>
        <v>#REF!</v>
      </c>
      <c r="N842" s="257" t="e">
        <f t="shared" ref="N842:N873" si="754">L842+M842</f>
        <v>#REF!</v>
      </c>
      <c r="O842" s="257" t="e">
        <f t="shared" ref="O842:O908" si="755">M842+N842</f>
        <v>#REF!</v>
      </c>
    </row>
    <row r="843" spans="1:15" hidden="1" x14ac:dyDescent="0.2">
      <c r="A843" s="259" t="s">
        <v>299</v>
      </c>
      <c r="B843" s="271">
        <v>801</v>
      </c>
      <c r="C843" s="252" t="s">
        <v>205</v>
      </c>
      <c r="D843" s="252" t="s">
        <v>192</v>
      </c>
      <c r="E843" s="252" t="s">
        <v>5</v>
      </c>
      <c r="F843" s="252"/>
      <c r="G843" s="257" t="e">
        <v>#REF!</v>
      </c>
      <c r="H843" s="257" t="e">
        <v>#REF!</v>
      </c>
      <c r="I843" s="257" t="e">
        <v>#REF!</v>
      </c>
      <c r="J843" s="257" t="e">
        <f t="shared" si="699"/>
        <v>#REF!</v>
      </c>
      <c r="K843" s="257" t="e">
        <f t="shared" si="699"/>
        <v>#REF!</v>
      </c>
      <c r="L843" s="257" t="e">
        <f t="shared" si="699"/>
        <v>#REF!</v>
      </c>
      <c r="M843" s="257" t="e">
        <f t="shared" si="753"/>
        <v>#REF!</v>
      </c>
      <c r="N843" s="257" t="e">
        <f t="shared" si="754"/>
        <v>#REF!</v>
      </c>
      <c r="O843" s="257" t="e">
        <f t="shared" si="755"/>
        <v>#REF!</v>
      </c>
    </row>
    <row r="844" spans="1:15" ht="12.75" hidden="1" customHeight="1" x14ac:dyDescent="0.2">
      <c r="A844" s="259" t="s">
        <v>300</v>
      </c>
      <c r="B844" s="271">
        <v>801</v>
      </c>
      <c r="C844" s="252" t="s">
        <v>205</v>
      </c>
      <c r="D844" s="252" t="s">
        <v>192</v>
      </c>
      <c r="E844" s="252" t="s">
        <v>5</v>
      </c>
      <c r="F844" s="252" t="s">
        <v>301</v>
      </c>
      <c r="G844" s="257" t="e">
        <v>#REF!</v>
      </c>
      <c r="H844" s="257" t="e">
        <v>#REF!</v>
      </c>
      <c r="I844" s="257" t="e">
        <v>#REF!</v>
      </c>
      <c r="J844" s="257" t="e">
        <f t="shared" si="699"/>
        <v>#REF!</v>
      </c>
      <c r="K844" s="257" t="e">
        <f t="shared" si="699"/>
        <v>#REF!</v>
      </c>
      <c r="L844" s="257" t="e">
        <f t="shared" si="699"/>
        <v>#REF!</v>
      </c>
      <c r="M844" s="257" t="e">
        <f t="shared" si="753"/>
        <v>#REF!</v>
      </c>
      <c r="N844" s="257" t="e">
        <f t="shared" si="754"/>
        <v>#REF!</v>
      </c>
      <c r="O844" s="257" t="e">
        <f t="shared" si="755"/>
        <v>#REF!</v>
      </c>
    </row>
    <row r="845" spans="1:15" ht="12.75" hidden="1" customHeight="1" x14ac:dyDescent="0.2">
      <c r="A845" s="525" t="s">
        <v>6</v>
      </c>
      <c r="B845" s="526"/>
      <c r="C845" s="526"/>
      <c r="D845" s="526"/>
      <c r="E845" s="526"/>
      <c r="F845" s="526"/>
      <c r="G845" s="257" t="e">
        <v>#REF!</v>
      </c>
      <c r="H845" s="257" t="e">
        <v>#REF!</v>
      </c>
      <c r="I845" s="257" t="e">
        <v>#REF!</v>
      </c>
      <c r="J845" s="257" t="e">
        <f t="shared" si="699"/>
        <v>#REF!</v>
      </c>
      <c r="K845" s="257" t="e">
        <f t="shared" si="699"/>
        <v>#REF!</v>
      </c>
      <c r="L845" s="257" t="e">
        <f t="shared" si="699"/>
        <v>#REF!</v>
      </c>
      <c r="M845" s="257" t="e">
        <f t="shared" si="753"/>
        <v>#REF!</v>
      </c>
      <c r="N845" s="257" t="e">
        <f t="shared" si="754"/>
        <v>#REF!</v>
      </c>
      <c r="O845" s="257" t="e">
        <f t="shared" si="755"/>
        <v>#REF!</v>
      </c>
    </row>
    <row r="846" spans="1:15" ht="12.75" hidden="1" customHeight="1" x14ac:dyDescent="0.2">
      <c r="A846" s="462" t="s">
        <v>72</v>
      </c>
      <c r="B846" s="249">
        <v>803</v>
      </c>
      <c r="C846" s="249" t="s">
        <v>312</v>
      </c>
      <c r="D846" s="249"/>
      <c r="E846" s="249"/>
      <c r="F846" s="260"/>
      <c r="G846" s="257" t="e">
        <v>#REF!</v>
      </c>
      <c r="H846" s="257" t="e">
        <v>#REF!</v>
      </c>
      <c r="I846" s="257" t="e">
        <v>#REF!</v>
      </c>
      <c r="J846" s="257" t="e">
        <f t="shared" si="699"/>
        <v>#REF!</v>
      </c>
      <c r="K846" s="257" t="e">
        <f t="shared" si="699"/>
        <v>#REF!</v>
      </c>
      <c r="L846" s="257" t="e">
        <f t="shared" si="699"/>
        <v>#REF!</v>
      </c>
      <c r="M846" s="257" t="e">
        <f t="shared" si="753"/>
        <v>#REF!</v>
      </c>
      <c r="N846" s="257" t="e">
        <f t="shared" si="754"/>
        <v>#REF!</v>
      </c>
      <c r="O846" s="257" t="e">
        <f t="shared" si="755"/>
        <v>#REF!</v>
      </c>
    </row>
    <row r="847" spans="1:15" ht="25.5" hidden="1" customHeight="1" x14ac:dyDescent="0.2">
      <c r="A847" s="462" t="s">
        <v>368</v>
      </c>
      <c r="B847" s="249">
        <v>803</v>
      </c>
      <c r="C847" s="249" t="s">
        <v>312</v>
      </c>
      <c r="D847" s="249">
        <v>12</v>
      </c>
      <c r="E847" s="249"/>
      <c r="F847" s="249"/>
      <c r="G847" s="257" t="e">
        <v>#REF!</v>
      </c>
      <c r="H847" s="257" t="e">
        <v>#REF!</v>
      </c>
      <c r="I847" s="257" t="e">
        <v>#REF!</v>
      </c>
      <c r="J847" s="257" t="e">
        <f t="shared" si="699"/>
        <v>#REF!</v>
      </c>
      <c r="K847" s="257" t="e">
        <f t="shared" si="699"/>
        <v>#REF!</v>
      </c>
      <c r="L847" s="257" t="e">
        <f t="shared" si="699"/>
        <v>#REF!</v>
      </c>
      <c r="M847" s="257" t="e">
        <f t="shared" si="753"/>
        <v>#REF!</v>
      </c>
      <c r="N847" s="257" t="e">
        <f t="shared" si="754"/>
        <v>#REF!</v>
      </c>
      <c r="O847" s="257" t="e">
        <f t="shared" si="755"/>
        <v>#REF!</v>
      </c>
    </row>
    <row r="848" spans="1:15" ht="12.75" hidden="1" customHeight="1" x14ac:dyDescent="0.2">
      <c r="A848" s="259" t="s">
        <v>7</v>
      </c>
      <c r="B848" s="271">
        <v>803</v>
      </c>
      <c r="C848" s="271" t="s">
        <v>312</v>
      </c>
      <c r="D848" s="271">
        <v>12</v>
      </c>
      <c r="E848" s="271" t="s">
        <v>8</v>
      </c>
      <c r="F848" s="271"/>
      <c r="G848" s="257" t="e">
        <v>#REF!</v>
      </c>
      <c r="H848" s="257" t="e">
        <v>#REF!</v>
      </c>
      <c r="I848" s="257" t="e">
        <v>#REF!</v>
      </c>
      <c r="J848" s="257" t="e">
        <f t="shared" si="699"/>
        <v>#REF!</v>
      </c>
      <c r="K848" s="257" t="e">
        <f t="shared" si="699"/>
        <v>#REF!</v>
      </c>
      <c r="L848" s="257" t="e">
        <f t="shared" si="699"/>
        <v>#REF!</v>
      </c>
      <c r="M848" s="257" t="e">
        <f t="shared" si="753"/>
        <v>#REF!</v>
      </c>
      <c r="N848" s="257" t="e">
        <f t="shared" si="754"/>
        <v>#REF!</v>
      </c>
      <c r="O848" s="257" t="e">
        <f t="shared" si="755"/>
        <v>#REF!</v>
      </c>
    </row>
    <row r="849" spans="1:15" ht="12.75" hidden="1" customHeight="1" x14ac:dyDescent="0.2">
      <c r="A849" s="259" t="s">
        <v>299</v>
      </c>
      <c r="B849" s="271">
        <v>803</v>
      </c>
      <c r="C849" s="271" t="s">
        <v>312</v>
      </c>
      <c r="D849" s="271">
        <v>12</v>
      </c>
      <c r="E849" s="271" t="s">
        <v>9</v>
      </c>
      <c r="F849" s="271"/>
      <c r="G849" s="257" t="e">
        <v>#REF!</v>
      </c>
      <c r="H849" s="257" t="e">
        <v>#REF!</v>
      </c>
      <c r="I849" s="257" t="e">
        <v>#REF!</v>
      </c>
      <c r="J849" s="257" t="e">
        <f t="shared" si="699"/>
        <v>#REF!</v>
      </c>
      <c r="K849" s="257" t="e">
        <f t="shared" si="699"/>
        <v>#REF!</v>
      </c>
      <c r="L849" s="257" t="e">
        <f t="shared" si="699"/>
        <v>#REF!</v>
      </c>
      <c r="M849" s="257" t="e">
        <f t="shared" si="753"/>
        <v>#REF!</v>
      </c>
      <c r="N849" s="257" t="e">
        <f t="shared" si="754"/>
        <v>#REF!</v>
      </c>
      <c r="O849" s="257" t="e">
        <f t="shared" si="755"/>
        <v>#REF!</v>
      </c>
    </row>
    <row r="850" spans="1:15" ht="12.75" hidden="1" customHeight="1" x14ac:dyDescent="0.2">
      <c r="A850" s="259" t="s">
        <v>300</v>
      </c>
      <c r="B850" s="271">
        <v>803</v>
      </c>
      <c r="C850" s="271" t="s">
        <v>312</v>
      </c>
      <c r="D850" s="271">
        <v>12</v>
      </c>
      <c r="E850" s="271" t="s">
        <v>9</v>
      </c>
      <c r="F850" s="252" t="s">
        <v>301</v>
      </c>
      <c r="G850" s="257" t="e">
        <v>#REF!</v>
      </c>
      <c r="H850" s="257" t="e">
        <v>#REF!</v>
      </c>
      <c r="I850" s="257" t="e">
        <v>#REF!</v>
      </c>
      <c r="J850" s="257" t="e">
        <f t="shared" si="699"/>
        <v>#REF!</v>
      </c>
      <c r="K850" s="257" t="e">
        <f t="shared" si="699"/>
        <v>#REF!</v>
      </c>
      <c r="L850" s="257" t="e">
        <f t="shared" si="699"/>
        <v>#REF!</v>
      </c>
      <c r="M850" s="257" t="e">
        <f t="shared" si="753"/>
        <v>#REF!</v>
      </c>
      <c r="N850" s="257" t="e">
        <f t="shared" si="754"/>
        <v>#REF!</v>
      </c>
      <c r="O850" s="257" t="e">
        <f t="shared" si="755"/>
        <v>#REF!</v>
      </c>
    </row>
    <row r="851" spans="1:15" ht="25.5" hidden="1" customHeight="1" x14ac:dyDescent="0.2">
      <c r="A851" s="259" t="s">
        <v>147</v>
      </c>
      <c r="B851" s="271">
        <v>803</v>
      </c>
      <c r="C851" s="252" t="s">
        <v>190</v>
      </c>
      <c r="D851" s="271">
        <v>12</v>
      </c>
      <c r="E851" s="271" t="s">
        <v>10</v>
      </c>
      <c r="F851" s="252"/>
      <c r="G851" s="257" t="e">
        <v>#REF!</v>
      </c>
      <c r="H851" s="257" t="e">
        <v>#REF!</v>
      </c>
      <c r="I851" s="257" t="e">
        <v>#REF!</v>
      </c>
      <c r="J851" s="257" t="e">
        <f t="shared" si="699"/>
        <v>#REF!</v>
      </c>
      <c r="K851" s="257" t="e">
        <f t="shared" si="699"/>
        <v>#REF!</v>
      </c>
      <c r="L851" s="257" t="e">
        <f t="shared" si="699"/>
        <v>#REF!</v>
      </c>
      <c r="M851" s="257" t="e">
        <f t="shared" si="753"/>
        <v>#REF!</v>
      </c>
      <c r="N851" s="257" t="e">
        <f t="shared" si="754"/>
        <v>#REF!</v>
      </c>
      <c r="O851" s="257" t="e">
        <f t="shared" si="755"/>
        <v>#REF!</v>
      </c>
    </row>
    <row r="852" spans="1:15" ht="12.75" hidden="1" customHeight="1" x14ac:dyDescent="0.2">
      <c r="A852" s="259" t="s">
        <v>300</v>
      </c>
      <c r="B852" s="271">
        <v>803</v>
      </c>
      <c r="C852" s="252" t="s">
        <v>190</v>
      </c>
      <c r="D852" s="271">
        <v>12</v>
      </c>
      <c r="E852" s="271" t="s">
        <v>10</v>
      </c>
      <c r="F852" s="252" t="s">
        <v>301</v>
      </c>
      <c r="G852" s="257" t="e">
        <v>#REF!</v>
      </c>
      <c r="H852" s="257" t="e">
        <v>#REF!</v>
      </c>
      <c r="I852" s="257" t="e">
        <v>#REF!</v>
      </c>
      <c r="J852" s="257" t="e">
        <f t="shared" si="699"/>
        <v>#REF!</v>
      </c>
      <c r="K852" s="257" t="e">
        <f t="shared" si="699"/>
        <v>#REF!</v>
      </c>
      <c r="L852" s="257" t="e">
        <f t="shared" si="699"/>
        <v>#REF!</v>
      </c>
      <c r="M852" s="257" t="e">
        <f t="shared" si="753"/>
        <v>#REF!</v>
      </c>
      <c r="N852" s="257" t="e">
        <f t="shared" si="754"/>
        <v>#REF!</v>
      </c>
      <c r="O852" s="257" t="e">
        <f t="shared" si="755"/>
        <v>#REF!</v>
      </c>
    </row>
    <row r="853" spans="1:15" ht="12.75" hidden="1" customHeight="1" x14ac:dyDescent="0.2">
      <c r="A853" s="462" t="s">
        <v>306</v>
      </c>
      <c r="B853" s="249">
        <v>803</v>
      </c>
      <c r="C853" s="250" t="s">
        <v>196</v>
      </c>
      <c r="D853" s="250"/>
      <c r="E853" s="250"/>
      <c r="F853" s="250"/>
      <c r="G853" s="257" t="e">
        <v>#REF!</v>
      </c>
      <c r="H853" s="257" t="e">
        <v>#REF!</v>
      </c>
      <c r="I853" s="257" t="e">
        <v>#REF!</v>
      </c>
      <c r="J853" s="257" t="e">
        <f t="shared" si="699"/>
        <v>#REF!</v>
      </c>
      <c r="K853" s="257" t="e">
        <f t="shared" si="699"/>
        <v>#REF!</v>
      </c>
      <c r="L853" s="257" t="e">
        <f t="shared" si="699"/>
        <v>#REF!</v>
      </c>
      <c r="M853" s="257" t="e">
        <f t="shared" si="753"/>
        <v>#REF!</v>
      </c>
      <c r="N853" s="257" t="e">
        <f t="shared" si="754"/>
        <v>#REF!</v>
      </c>
      <c r="O853" s="257" t="e">
        <f t="shared" si="755"/>
        <v>#REF!</v>
      </c>
    </row>
    <row r="854" spans="1:15" ht="12.75" hidden="1" customHeight="1" x14ac:dyDescent="0.2">
      <c r="A854" s="462" t="s">
        <v>218</v>
      </c>
      <c r="B854" s="249">
        <v>803</v>
      </c>
      <c r="C854" s="250" t="s">
        <v>196</v>
      </c>
      <c r="D854" s="250" t="s">
        <v>200</v>
      </c>
      <c r="E854" s="250"/>
      <c r="F854" s="250"/>
      <c r="G854" s="257" t="e">
        <v>#REF!</v>
      </c>
      <c r="H854" s="257" t="e">
        <v>#REF!</v>
      </c>
      <c r="I854" s="257" t="e">
        <v>#REF!</v>
      </c>
      <c r="J854" s="257" t="e">
        <f t="shared" si="699"/>
        <v>#REF!</v>
      </c>
      <c r="K854" s="257" t="e">
        <f t="shared" si="699"/>
        <v>#REF!</v>
      </c>
      <c r="L854" s="257" t="e">
        <f t="shared" si="699"/>
        <v>#REF!</v>
      </c>
      <c r="M854" s="257" t="e">
        <f t="shared" si="753"/>
        <v>#REF!</v>
      </c>
      <c r="N854" s="257" t="e">
        <f t="shared" si="754"/>
        <v>#REF!</v>
      </c>
      <c r="O854" s="257" t="e">
        <f t="shared" si="755"/>
        <v>#REF!</v>
      </c>
    </row>
    <row r="855" spans="1:15" ht="12.75" hidden="1" customHeight="1" x14ac:dyDescent="0.2">
      <c r="A855" s="259" t="s">
        <v>11</v>
      </c>
      <c r="B855" s="271">
        <v>803</v>
      </c>
      <c r="C855" s="252" t="s">
        <v>196</v>
      </c>
      <c r="D855" s="252" t="s">
        <v>200</v>
      </c>
      <c r="E855" s="252" t="s">
        <v>12</v>
      </c>
      <c r="F855" s="250"/>
      <c r="G855" s="257" t="e">
        <v>#REF!</v>
      </c>
      <c r="H855" s="257" t="e">
        <v>#REF!</v>
      </c>
      <c r="I855" s="257" t="e">
        <v>#REF!</v>
      </c>
      <c r="J855" s="257" t="e">
        <f t="shared" si="699"/>
        <v>#REF!</v>
      </c>
      <c r="K855" s="257" t="e">
        <f t="shared" si="699"/>
        <v>#REF!</v>
      </c>
      <c r="L855" s="257" t="e">
        <f t="shared" si="699"/>
        <v>#REF!</v>
      </c>
      <c r="M855" s="257" t="e">
        <f t="shared" si="753"/>
        <v>#REF!</v>
      </c>
      <c r="N855" s="257" t="e">
        <f t="shared" si="754"/>
        <v>#REF!</v>
      </c>
      <c r="O855" s="257" t="e">
        <f t="shared" si="755"/>
        <v>#REF!</v>
      </c>
    </row>
    <row r="856" spans="1:15" ht="51" hidden="1" customHeight="1" x14ac:dyDescent="0.2">
      <c r="A856" s="259" t="s">
        <v>13</v>
      </c>
      <c r="B856" s="271">
        <v>803</v>
      </c>
      <c r="C856" s="252" t="s">
        <v>196</v>
      </c>
      <c r="D856" s="252" t="s">
        <v>200</v>
      </c>
      <c r="E856" s="252" t="s">
        <v>14</v>
      </c>
      <c r="F856" s="252"/>
      <c r="G856" s="257" t="e">
        <v>#REF!</v>
      </c>
      <c r="H856" s="257" t="e">
        <v>#REF!</v>
      </c>
      <c r="I856" s="257" t="e">
        <v>#REF!</v>
      </c>
      <c r="J856" s="257" t="e">
        <f t="shared" si="699"/>
        <v>#REF!</v>
      </c>
      <c r="K856" s="257" t="e">
        <f t="shared" si="699"/>
        <v>#REF!</v>
      </c>
      <c r="L856" s="257" t="e">
        <f t="shared" si="699"/>
        <v>#REF!</v>
      </c>
      <c r="M856" s="257" t="e">
        <f t="shared" si="753"/>
        <v>#REF!</v>
      </c>
      <c r="N856" s="257" t="e">
        <f t="shared" si="754"/>
        <v>#REF!</v>
      </c>
      <c r="O856" s="257" t="e">
        <f t="shared" si="755"/>
        <v>#REF!</v>
      </c>
    </row>
    <row r="857" spans="1:15" ht="12.75" hidden="1" customHeight="1" x14ac:dyDescent="0.2">
      <c r="A857" s="259" t="s">
        <v>153</v>
      </c>
      <c r="B857" s="271">
        <v>803</v>
      </c>
      <c r="C857" s="252" t="s">
        <v>196</v>
      </c>
      <c r="D857" s="252" t="s">
        <v>200</v>
      </c>
      <c r="E857" s="252" t="s">
        <v>14</v>
      </c>
      <c r="F857" s="252" t="s">
        <v>154</v>
      </c>
      <c r="G857" s="257" t="e">
        <v>#REF!</v>
      </c>
      <c r="H857" s="257" t="e">
        <v>#REF!</v>
      </c>
      <c r="I857" s="257" t="e">
        <v>#REF!</v>
      </c>
      <c r="J857" s="257" t="e">
        <f t="shared" si="699"/>
        <v>#REF!</v>
      </c>
      <c r="K857" s="257" t="e">
        <f t="shared" si="699"/>
        <v>#REF!</v>
      </c>
      <c r="L857" s="257" t="e">
        <f t="shared" si="699"/>
        <v>#REF!</v>
      </c>
      <c r="M857" s="257" t="e">
        <f t="shared" si="753"/>
        <v>#REF!</v>
      </c>
      <c r="N857" s="257" t="e">
        <f t="shared" si="754"/>
        <v>#REF!</v>
      </c>
      <c r="O857" s="257" t="e">
        <f t="shared" si="755"/>
        <v>#REF!</v>
      </c>
    </row>
    <row r="858" spans="1:15" ht="51" hidden="1" customHeight="1" x14ac:dyDescent="0.2">
      <c r="A858" s="259" t="s">
        <v>15</v>
      </c>
      <c r="B858" s="271">
        <v>803</v>
      </c>
      <c r="C858" s="252" t="s">
        <v>196</v>
      </c>
      <c r="D858" s="252" t="s">
        <v>200</v>
      </c>
      <c r="E858" s="252" t="s">
        <v>16</v>
      </c>
      <c r="F858" s="252"/>
      <c r="G858" s="257" t="e">
        <v>#REF!</v>
      </c>
      <c r="H858" s="257" t="e">
        <v>#REF!</v>
      </c>
      <c r="I858" s="257" t="e">
        <v>#REF!</v>
      </c>
      <c r="J858" s="257" t="e">
        <f t="shared" si="699"/>
        <v>#REF!</v>
      </c>
      <c r="K858" s="257" t="e">
        <f t="shared" si="699"/>
        <v>#REF!</v>
      </c>
      <c r="L858" s="257" t="e">
        <f t="shared" si="699"/>
        <v>#REF!</v>
      </c>
      <c r="M858" s="257" t="e">
        <f t="shared" si="753"/>
        <v>#REF!</v>
      </c>
      <c r="N858" s="257" t="e">
        <f t="shared" si="754"/>
        <v>#REF!</v>
      </c>
      <c r="O858" s="257" t="e">
        <f t="shared" si="755"/>
        <v>#REF!</v>
      </c>
    </row>
    <row r="859" spans="1:15" ht="12.75" hidden="1" customHeight="1" x14ac:dyDescent="0.2">
      <c r="A859" s="259" t="s">
        <v>153</v>
      </c>
      <c r="B859" s="271">
        <v>803</v>
      </c>
      <c r="C859" s="252" t="s">
        <v>196</v>
      </c>
      <c r="D859" s="252" t="s">
        <v>200</v>
      </c>
      <c r="E859" s="252" t="s">
        <v>16</v>
      </c>
      <c r="F859" s="252" t="s">
        <v>154</v>
      </c>
      <c r="G859" s="257" t="e">
        <v>#REF!</v>
      </c>
      <c r="H859" s="257" t="e">
        <v>#REF!</v>
      </c>
      <c r="I859" s="257" t="e">
        <v>#REF!</v>
      </c>
      <c r="J859" s="257" t="e">
        <f t="shared" si="699"/>
        <v>#REF!</v>
      </c>
      <c r="K859" s="257" t="e">
        <f t="shared" si="699"/>
        <v>#REF!</v>
      </c>
      <c r="L859" s="257" t="e">
        <f t="shared" si="699"/>
        <v>#REF!</v>
      </c>
      <c r="M859" s="257" t="e">
        <f t="shared" si="753"/>
        <v>#REF!</v>
      </c>
      <c r="N859" s="257" t="e">
        <f t="shared" si="754"/>
        <v>#REF!</v>
      </c>
      <c r="O859" s="257" t="e">
        <f t="shared" si="755"/>
        <v>#REF!</v>
      </c>
    </row>
    <row r="860" spans="1:15" ht="12.75" hidden="1" customHeight="1" x14ac:dyDescent="0.2">
      <c r="A860" s="259" t="s">
        <v>17</v>
      </c>
      <c r="B860" s="271">
        <v>803</v>
      </c>
      <c r="C860" s="252" t="s">
        <v>196</v>
      </c>
      <c r="D860" s="252" t="s">
        <v>200</v>
      </c>
      <c r="E860" s="252" t="s">
        <v>18</v>
      </c>
      <c r="F860" s="252"/>
      <c r="G860" s="257" t="e">
        <v>#REF!</v>
      </c>
      <c r="H860" s="257" t="e">
        <v>#REF!</v>
      </c>
      <c r="I860" s="257" t="e">
        <v>#REF!</v>
      </c>
      <c r="J860" s="257" t="e">
        <f t="shared" si="699"/>
        <v>#REF!</v>
      </c>
      <c r="K860" s="257" t="e">
        <f t="shared" si="699"/>
        <v>#REF!</v>
      </c>
      <c r="L860" s="257" t="e">
        <f t="shared" si="699"/>
        <v>#REF!</v>
      </c>
      <c r="M860" s="257" t="e">
        <f t="shared" si="753"/>
        <v>#REF!</v>
      </c>
      <c r="N860" s="257" t="e">
        <f t="shared" si="754"/>
        <v>#REF!</v>
      </c>
      <c r="O860" s="257" t="e">
        <f t="shared" si="755"/>
        <v>#REF!</v>
      </c>
    </row>
    <row r="861" spans="1:15" ht="12.75" hidden="1" customHeight="1" x14ac:dyDescent="0.2">
      <c r="A861" s="259" t="s">
        <v>320</v>
      </c>
      <c r="B861" s="271">
        <v>803</v>
      </c>
      <c r="C861" s="252" t="s">
        <v>196</v>
      </c>
      <c r="D861" s="252" t="s">
        <v>200</v>
      </c>
      <c r="E861" s="252" t="s">
        <v>18</v>
      </c>
      <c r="F861" s="252" t="s">
        <v>321</v>
      </c>
      <c r="G861" s="257" t="e">
        <v>#REF!</v>
      </c>
      <c r="H861" s="257" t="e">
        <v>#REF!</v>
      </c>
      <c r="I861" s="257" t="e">
        <v>#REF!</v>
      </c>
      <c r="J861" s="257" t="e">
        <f t="shared" si="699"/>
        <v>#REF!</v>
      </c>
      <c r="K861" s="257" t="e">
        <f t="shared" si="699"/>
        <v>#REF!</v>
      </c>
      <c r="L861" s="257" t="e">
        <f t="shared" si="699"/>
        <v>#REF!</v>
      </c>
      <c r="M861" s="257" t="e">
        <f t="shared" si="753"/>
        <v>#REF!</v>
      </c>
      <c r="N861" s="257" t="e">
        <f t="shared" si="754"/>
        <v>#REF!</v>
      </c>
      <c r="O861" s="257" t="e">
        <f t="shared" si="755"/>
        <v>#REF!</v>
      </c>
    </row>
    <row r="862" spans="1:15" ht="12.75" hidden="1" customHeight="1" x14ac:dyDescent="0.2">
      <c r="A862" s="462" t="s">
        <v>19</v>
      </c>
      <c r="B862" s="249">
        <v>803</v>
      </c>
      <c r="C862" s="250" t="s">
        <v>196</v>
      </c>
      <c r="D862" s="250" t="s">
        <v>202</v>
      </c>
      <c r="E862" s="250"/>
      <c r="F862" s="250"/>
      <c r="G862" s="257" t="e">
        <v>#REF!</v>
      </c>
      <c r="H862" s="257" t="e">
        <v>#REF!</v>
      </c>
      <c r="I862" s="257" t="e">
        <v>#REF!</v>
      </c>
      <c r="J862" s="257" t="e">
        <f t="shared" si="699"/>
        <v>#REF!</v>
      </c>
      <c r="K862" s="257" t="e">
        <f t="shared" si="699"/>
        <v>#REF!</v>
      </c>
      <c r="L862" s="257" t="e">
        <f t="shared" si="699"/>
        <v>#REF!</v>
      </c>
      <c r="M862" s="257" t="e">
        <f t="shared" si="753"/>
        <v>#REF!</v>
      </c>
      <c r="N862" s="257" t="e">
        <f t="shared" si="754"/>
        <v>#REF!</v>
      </c>
      <c r="O862" s="257" t="e">
        <f t="shared" si="755"/>
        <v>#REF!</v>
      </c>
    </row>
    <row r="863" spans="1:15" ht="12.75" hidden="1" customHeight="1" x14ac:dyDescent="0.2">
      <c r="A863" s="259" t="s">
        <v>20</v>
      </c>
      <c r="B863" s="271">
        <v>803</v>
      </c>
      <c r="C863" s="252" t="s">
        <v>196</v>
      </c>
      <c r="D863" s="252" t="s">
        <v>202</v>
      </c>
      <c r="E863" s="252" t="s">
        <v>21</v>
      </c>
      <c r="F863" s="252"/>
      <c r="G863" s="257" t="e">
        <v>#REF!</v>
      </c>
      <c r="H863" s="257" t="e">
        <v>#REF!</v>
      </c>
      <c r="I863" s="257" t="e">
        <v>#REF!</v>
      </c>
      <c r="J863" s="257" t="e">
        <f t="shared" ref="J863:L898" si="756">H863+I863</f>
        <v>#REF!</v>
      </c>
      <c r="K863" s="257" t="e">
        <f t="shared" si="756"/>
        <v>#REF!</v>
      </c>
      <c r="L863" s="257" t="e">
        <f t="shared" si="756"/>
        <v>#REF!</v>
      </c>
      <c r="M863" s="257" t="e">
        <f t="shared" si="753"/>
        <v>#REF!</v>
      </c>
      <c r="N863" s="257" t="e">
        <f t="shared" si="754"/>
        <v>#REF!</v>
      </c>
      <c r="O863" s="257" t="e">
        <f t="shared" si="755"/>
        <v>#REF!</v>
      </c>
    </row>
    <row r="864" spans="1:15" ht="12.75" hidden="1" customHeight="1" x14ac:dyDescent="0.2">
      <c r="A864" s="259" t="s">
        <v>22</v>
      </c>
      <c r="B864" s="271">
        <v>803</v>
      </c>
      <c r="C864" s="252" t="s">
        <v>196</v>
      </c>
      <c r="D864" s="252" t="s">
        <v>202</v>
      </c>
      <c r="E864" s="252" t="s">
        <v>23</v>
      </c>
      <c r="F864" s="252"/>
      <c r="G864" s="257" t="e">
        <v>#REF!</v>
      </c>
      <c r="H864" s="257" t="e">
        <v>#REF!</v>
      </c>
      <c r="I864" s="257" t="e">
        <v>#REF!</v>
      </c>
      <c r="J864" s="257" t="e">
        <f t="shared" si="756"/>
        <v>#REF!</v>
      </c>
      <c r="K864" s="257" t="e">
        <f t="shared" si="756"/>
        <v>#REF!</v>
      </c>
      <c r="L864" s="257" t="e">
        <f t="shared" si="756"/>
        <v>#REF!</v>
      </c>
      <c r="M864" s="257" t="e">
        <f t="shared" si="753"/>
        <v>#REF!</v>
      </c>
      <c r="N864" s="257" t="e">
        <f t="shared" si="754"/>
        <v>#REF!</v>
      </c>
      <c r="O864" s="257" t="e">
        <f t="shared" si="755"/>
        <v>#REF!</v>
      </c>
    </row>
    <row r="865" spans="1:15" ht="12.75" hidden="1" customHeight="1" x14ac:dyDescent="0.2">
      <c r="A865" s="259" t="s">
        <v>24</v>
      </c>
      <c r="B865" s="271">
        <v>803</v>
      </c>
      <c r="C865" s="252" t="s">
        <v>196</v>
      </c>
      <c r="D865" s="252" t="s">
        <v>202</v>
      </c>
      <c r="E865" s="252" t="s">
        <v>23</v>
      </c>
      <c r="F865" s="252" t="s">
        <v>301</v>
      </c>
      <c r="G865" s="257" t="e">
        <v>#REF!</v>
      </c>
      <c r="H865" s="257" t="e">
        <v>#REF!</v>
      </c>
      <c r="I865" s="257" t="e">
        <v>#REF!</v>
      </c>
      <c r="J865" s="257" t="e">
        <f t="shared" si="756"/>
        <v>#REF!</v>
      </c>
      <c r="K865" s="257" t="e">
        <f t="shared" si="756"/>
        <v>#REF!</v>
      </c>
      <c r="L865" s="257" t="e">
        <f t="shared" si="756"/>
        <v>#REF!</v>
      </c>
      <c r="M865" s="257" t="e">
        <f t="shared" si="753"/>
        <v>#REF!</v>
      </c>
      <c r="N865" s="257" t="e">
        <f t="shared" si="754"/>
        <v>#REF!</v>
      </c>
      <c r="O865" s="257" t="e">
        <f t="shared" si="755"/>
        <v>#REF!</v>
      </c>
    </row>
    <row r="866" spans="1:15" ht="12.75" hidden="1" customHeight="1" x14ac:dyDescent="0.2">
      <c r="A866" s="259" t="s">
        <v>320</v>
      </c>
      <c r="B866" s="271">
        <v>803</v>
      </c>
      <c r="C866" s="252" t="s">
        <v>196</v>
      </c>
      <c r="D866" s="252" t="s">
        <v>202</v>
      </c>
      <c r="E866" s="252" t="s">
        <v>23</v>
      </c>
      <c r="F866" s="252" t="s">
        <v>321</v>
      </c>
      <c r="G866" s="257" t="e">
        <v>#REF!</v>
      </c>
      <c r="H866" s="257" t="e">
        <v>#REF!</v>
      </c>
      <c r="I866" s="257" t="e">
        <v>#REF!</v>
      </c>
      <c r="J866" s="257" t="e">
        <f t="shared" si="756"/>
        <v>#REF!</v>
      </c>
      <c r="K866" s="257" t="e">
        <f t="shared" si="756"/>
        <v>#REF!</v>
      </c>
      <c r="L866" s="257" t="e">
        <f t="shared" si="756"/>
        <v>#REF!</v>
      </c>
      <c r="M866" s="257" t="e">
        <f t="shared" si="753"/>
        <v>#REF!</v>
      </c>
      <c r="N866" s="257" t="e">
        <f t="shared" si="754"/>
        <v>#REF!</v>
      </c>
      <c r="O866" s="257" t="e">
        <f t="shared" si="755"/>
        <v>#REF!</v>
      </c>
    </row>
    <row r="867" spans="1:15" ht="12.75" hidden="1" customHeight="1" x14ac:dyDescent="0.2">
      <c r="A867" s="259" t="s">
        <v>149</v>
      </c>
      <c r="B867" s="271">
        <v>803</v>
      </c>
      <c r="C867" s="252" t="s">
        <v>196</v>
      </c>
      <c r="D867" s="252" t="s">
        <v>202</v>
      </c>
      <c r="E867" s="252" t="s">
        <v>23</v>
      </c>
      <c r="F867" s="252" t="s">
        <v>150</v>
      </c>
      <c r="G867" s="257" t="e">
        <v>#REF!</v>
      </c>
      <c r="H867" s="257" t="e">
        <v>#REF!</v>
      </c>
      <c r="I867" s="257" t="e">
        <v>#REF!</v>
      </c>
      <c r="J867" s="257" t="e">
        <f t="shared" si="756"/>
        <v>#REF!</v>
      </c>
      <c r="K867" s="257" t="e">
        <f t="shared" si="756"/>
        <v>#REF!</v>
      </c>
      <c r="L867" s="257" t="e">
        <f t="shared" si="756"/>
        <v>#REF!</v>
      </c>
      <c r="M867" s="257" t="e">
        <f t="shared" si="753"/>
        <v>#REF!</v>
      </c>
      <c r="N867" s="257" t="e">
        <f t="shared" si="754"/>
        <v>#REF!</v>
      </c>
      <c r="O867" s="257" t="e">
        <f t="shared" si="755"/>
        <v>#REF!</v>
      </c>
    </row>
    <row r="868" spans="1:15" ht="12.75" hidden="1" customHeight="1" x14ac:dyDescent="0.2">
      <c r="A868" s="462" t="s">
        <v>25</v>
      </c>
      <c r="B868" s="249">
        <v>803</v>
      </c>
      <c r="C868" s="250" t="s">
        <v>200</v>
      </c>
      <c r="D868" s="250"/>
      <c r="E868" s="250"/>
      <c r="F868" s="250"/>
      <c r="G868" s="257" t="e">
        <v>#REF!</v>
      </c>
      <c r="H868" s="257" t="e">
        <v>#REF!</v>
      </c>
      <c r="I868" s="257" t="e">
        <v>#REF!</v>
      </c>
      <c r="J868" s="257" t="e">
        <f t="shared" si="756"/>
        <v>#REF!</v>
      </c>
      <c r="K868" s="257" t="e">
        <f t="shared" si="756"/>
        <v>#REF!</v>
      </c>
      <c r="L868" s="257" t="e">
        <f t="shared" si="756"/>
        <v>#REF!</v>
      </c>
      <c r="M868" s="257" t="e">
        <f t="shared" si="753"/>
        <v>#REF!</v>
      </c>
      <c r="N868" s="257" t="e">
        <f t="shared" si="754"/>
        <v>#REF!</v>
      </c>
      <c r="O868" s="257" t="e">
        <f t="shared" si="755"/>
        <v>#REF!</v>
      </c>
    </row>
    <row r="869" spans="1:15" ht="25.5" hidden="1" customHeight="1" x14ac:dyDescent="0.2">
      <c r="A869" s="462" t="s">
        <v>26</v>
      </c>
      <c r="B869" s="249">
        <v>803</v>
      </c>
      <c r="C869" s="250" t="s">
        <v>200</v>
      </c>
      <c r="D869" s="250" t="s">
        <v>194</v>
      </c>
      <c r="E869" s="252"/>
      <c r="F869" s="252"/>
      <c r="G869" s="257" t="e">
        <v>#REF!</v>
      </c>
      <c r="H869" s="257" t="e">
        <v>#REF!</v>
      </c>
      <c r="I869" s="257" t="e">
        <v>#REF!</v>
      </c>
      <c r="J869" s="257" t="e">
        <f t="shared" si="756"/>
        <v>#REF!</v>
      </c>
      <c r="K869" s="257" t="e">
        <f t="shared" si="756"/>
        <v>#REF!</v>
      </c>
      <c r="L869" s="257" t="e">
        <f t="shared" si="756"/>
        <v>#REF!</v>
      </c>
      <c r="M869" s="257" t="e">
        <f t="shared" si="753"/>
        <v>#REF!</v>
      </c>
      <c r="N869" s="257" t="e">
        <f t="shared" si="754"/>
        <v>#REF!</v>
      </c>
      <c r="O869" s="257" t="e">
        <f t="shared" si="755"/>
        <v>#REF!</v>
      </c>
    </row>
    <row r="870" spans="1:15" ht="12.75" hidden="1" customHeight="1" x14ac:dyDescent="0.2">
      <c r="A870" s="259" t="s">
        <v>27</v>
      </c>
      <c r="B870" s="271">
        <v>803</v>
      </c>
      <c r="C870" s="252" t="s">
        <v>200</v>
      </c>
      <c r="D870" s="252" t="s">
        <v>194</v>
      </c>
      <c r="E870" s="252" t="s">
        <v>28</v>
      </c>
      <c r="F870" s="252"/>
      <c r="G870" s="257" t="e">
        <v>#REF!</v>
      </c>
      <c r="H870" s="257" t="e">
        <v>#REF!</v>
      </c>
      <c r="I870" s="257" t="e">
        <v>#REF!</v>
      </c>
      <c r="J870" s="257" t="e">
        <f t="shared" si="756"/>
        <v>#REF!</v>
      </c>
      <c r="K870" s="257" t="e">
        <f t="shared" si="756"/>
        <v>#REF!</v>
      </c>
      <c r="L870" s="257" t="e">
        <f t="shared" si="756"/>
        <v>#REF!</v>
      </c>
      <c r="M870" s="257" t="e">
        <f t="shared" si="753"/>
        <v>#REF!</v>
      </c>
      <c r="N870" s="257" t="e">
        <f t="shared" si="754"/>
        <v>#REF!</v>
      </c>
      <c r="O870" s="257" t="e">
        <f t="shared" si="755"/>
        <v>#REF!</v>
      </c>
    </row>
    <row r="871" spans="1:15" ht="12.75" hidden="1" customHeight="1" x14ac:dyDescent="0.2">
      <c r="A871" s="259" t="s">
        <v>299</v>
      </c>
      <c r="B871" s="271">
        <v>803</v>
      </c>
      <c r="C871" s="252" t="s">
        <v>200</v>
      </c>
      <c r="D871" s="252" t="s">
        <v>194</v>
      </c>
      <c r="E871" s="252" t="s">
        <v>29</v>
      </c>
      <c r="F871" s="252"/>
      <c r="G871" s="257" t="e">
        <v>#REF!</v>
      </c>
      <c r="H871" s="257" t="e">
        <v>#REF!</v>
      </c>
      <c r="I871" s="257" t="e">
        <v>#REF!</v>
      </c>
      <c r="J871" s="257" t="e">
        <f t="shared" si="756"/>
        <v>#REF!</v>
      </c>
      <c r="K871" s="257" t="e">
        <f t="shared" si="756"/>
        <v>#REF!</v>
      </c>
      <c r="L871" s="257" t="e">
        <f t="shared" si="756"/>
        <v>#REF!</v>
      </c>
      <c r="M871" s="257" t="e">
        <f t="shared" si="753"/>
        <v>#REF!</v>
      </c>
      <c r="N871" s="257" t="e">
        <f t="shared" si="754"/>
        <v>#REF!</v>
      </c>
      <c r="O871" s="257" t="e">
        <f t="shared" si="755"/>
        <v>#REF!</v>
      </c>
    </row>
    <row r="872" spans="1:15" ht="12.75" hidden="1" customHeight="1" x14ac:dyDescent="0.2">
      <c r="A872" s="259" t="s">
        <v>300</v>
      </c>
      <c r="B872" s="271">
        <v>803</v>
      </c>
      <c r="C872" s="252" t="s">
        <v>200</v>
      </c>
      <c r="D872" s="252" t="s">
        <v>194</v>
      </c>
      <c r="E872" s="252" t="s">
        <v>29</v>
      </c>
      <c r="F872" s="252" t="s">
        <v>301</v>
      </c>
      <c r="G872" s="257" t="e">
        <v>#REF!</v>
      </c>
      <c r="H872" s="257" t="e">
        <v>#REF!</v>
      </c>
      <c r="I872" s="257" t="e">
        <v>#REF!</v>
      </c>
      <c r="J872" s="257" t="e">
        <f t="shared" si="756"/>
        <v>#REF!</v>
      </c>
      <c r="K872" s="257" t="e">
        <f t="shared" si="756"/>
        <v>#REF!</v>
      </c>
      <c r="L872" s="257" t="e">
        <f t="shared" si="756"/>
        <v>#REF!</v>
      </c>
      <c r="M872" s="257" t="e">
        <f t="shared" si="753"/>
        <v>#REF!</v>
      </c>
      <c r="N872" s="257" t="e">
        <f t="shared" si="754"/>
        <v>#REF!</v>
      </c>
      <c r="O872" s="257" t="e">
        <f t="shared" si="755"/>
        <v>#REF!</v>
      </c>
    </row>
    <row r="873" spans="1:15" ht="12.75" hidden="1" customHeight="1" x14ac:dyDescent="0.2">
      <c r="A873" s="259" t="s">
        <v>338</v>
      </c>
      <c r="B873" s="271">
        <v>803</v>
      </c>
      <c r="C873" s="252" t="s">
        <v>200</v>
      </c>
      <c r="D873" s="252" t="s">
        <v>194</v>
      </c>
      <c r="E873" s="252" t="s">
        <v>29</v>
      </c>
      <c r="F873" s="252" t="s">
        <v>339</v>
      </c>
      <c r="G873" s="257" t="e">
        <v>#REF!</v>
      </c>
      <c r="H873" s="257" t="e">
        <v>#REF!</v>
      </c>
      <c r="I873" s="257" t="e">
        <v>#REF!</v>
      </c>
      <c r="J873" s="257" t="e">
        <f t="shared" si="756"/>
        <v>#REF!</v>
      </c>
      <c r="K873" s="257" t="e">
        <f t="shared" si="756"/>
        <v>#REF!</v>
      </c>
      <c r="L873" s="257" t="e">
        <f t="shared" si="756"/>
        <v>#REF!</v>
      </c>
      <c r="M873" s="257" t="e">
        <f t="shared" si="753"/>
        <v>#REF!</v>
      </c>
      <c r="N873" s="257" t="e">
        <f t="shared" si="754"/>
        <v>#REF!</v>
      </c>
      <c r="O873" s="257" t="e">
        <f t="shared" si="755"/>
        <v>#REF!</v>
      </c>
    </row>
    <row r="874" spans="1:15" ht="25.5" hidden="1" customHeight="1" x14ac:dyDescent="0.2">
      <c r="A874" s="259" t="s">
        <v>147</v>
      </c>
      <c r="B874" s="271">
        <v>803</v>
      </c>
      <c r="C874" s="252" t="s">
        <v>200</v>
      </c>
      <c r="D874" s="252" t="s">
        <v>194</v>
      </c>
      <c r="E874" s="252" t="s">
        <v>30</v>
      </c>
      <c r="F874" s="252"/>
      <c r="G874" s="257" t="e">
        <v>#REF!</v>
      </c>
      <c r="H874" s="257" t="e">
        <v>#REF!</v>
      </c>
      <c r="I874" s="257" t="e">
        <v>#REF!</v>
      </c>
      <c r="J874" s="257" t="e">
        <f t="shared" si="756"/>
        <v>#REF!</v>
      </c>
      <c r="K874" s="257" t="e">
        <f t="shared" si="756"/>
        <v>#REF!</v>
      </c>
      <c r="L874" s="257" t="e">
        <f t="shared" si="756"/>
        <v>#REF!</v>
      </c>
      <c r="M874" s="257" t="e">
        <f t="shared" ref="M874:M905" si="757">L874+L874</f>
        <v>#REF!</v>
      </c>
      <c r="N874" s="257" t="e">
        <f t="shared" ref="N874:N905" si="758">L874+M874</f>
        <v>#REF!</v>
      </c>
      <c r="O874" s="257" t="e">
        <f t="shared" si="755"/>
        <v>#REF!</v>
      </c>
    </row>
    <row r="875" spans="1:15" ht="12.75" hidden="1" customHeight="1" x14ac:dyDescent="0.2">
      <c r="A875" s="259" t="s">
        <v>300</v>
      </c>
      <c r="B875" s="271">
        <v>803</v>
      </c>
      <c r="C875" s="252" t="s">
        <v>200</v>
      </c>
      <c r="D875" s="252" t="s">
        <v>194</v>
      </c>
      <c r="E875" s="252" t="s">
        <v>30</v>
      </c>
      <c r="F875" s="252" t="s">
        <v>301</v>
      </c>
      <c r="G875" s="257" t="e">
        <v>#REF!</v>
      </c>
      <c r="H875" s="257" t="e">
        <v>#REF!</v>
      </c>
      <c r="I875" s="257" t="e">
        <v>#REF!</v>
      </c>
      <c r="J875" s="257" t="e">
        <f t="shared" si="756"/>
        <v>#REF!</v>
      </c>
      <c r="K875" s="257" t="e">
        <f t="shared" si="756"/>
        <v>#REF!</v>
      </c>
      <c r="L875" s="257" t="e">
        <f t="shared" si="756"/>
        <v>#REF!</v>
      </c>
      <c r="M875" s="257" t="e">
        <f t="shared" si="757"/>
        <v>#REF!</v>
      </c>
      <c r="N875" s="257" t="e">
        <f t="shared" si="758"/>
        <v>#REF!</v>
      </c>
      <c r="O875" s="257" t="e">
        <f t="shared" si="755"/>
        <v>#REF!</v>
      </c>
    </row>
    <row r="876" spans="1:15" ht="12.75" hidden="1" customHeight="1" x14ac:dyDescent="0.2">
      <c r="A876" s="259" t="s">
        <v>324</v>
      </c>
      <c r="B876" s="271">
        <v>803</v>
      </c>
      <c r="C876" s="252" t="s">
        <v>200</v>
      </c>
      <c r="D876" s="252" t="s">
        <v>194</v>
      </c>
      <c r="E876" s="252" t="s">
        <v>325</v>
      </c>
      <c r="F876" s="252"/>
      <c r="G876" s="257" t="e">
        <v>#REF!</v>
      </c>
      <c r="H876" s="257" t="e">
        <v>#REF!</v>
      </c>
      <c r="I876" s="257" t="e">
        <v>#REF!</v>
      </c>
      <c r="J876" s="257" t="e">
        <f t="shared" si="756"/>
        <v>#REF!</v>
      </c>
      <c r="K876" s="257" t="e">
        <f t="shared" si="756"/>
        <v>#REF!</v>
      </c>
      <c r="L876" s="257" t="e">
        <f t="shared" si="756"/>
        <v>#REF!</v>
      </c>
      <c r="M876" s="257" t="e">
        <f t="shared" si="757"/>
        <v>#REF!</v>
      </c>
      <c r="N876" s="257" t="e">
        <f t="shared" si="758"/>
        <v>#REF!</v>
      </c>
      <c r="O876" s="257" t="e">
        <f t="shared" si="755"/>
        <v>#REF!</v>
      </c>
    </row>
    <row r="877" spans="1:15" ht="25.5" hidden="1" customHeight="1" x14ac:dyDescent="0.2">
      <c r="A877" s="259" t="s">
        <v>31</v>
      </c>
      <c r="B877" s="271">
        <v>803</v>
      </c>
      <c r="C877" s="252" t="s">
        <v>200</v>
      </c>
      <c r="D877" s="252" t="s">
        <v>194</v>
      </c>
      <c r="E877" s="252" t="s">
        <v>32</v>
      </c>
      <c r="F877" s="252"/>
      <c r="G877" s="257" t="e">
        <v>#REF!</v>
      </c>
      <c r="H877" s="257" t="e">
        <v>#REF!</v>
      </c>
      <c r="I877" s="257" t="e">
        <v>#REF!</v>
      </c>
      <c r="J877" s="257" t="e">
        <f t="shared" si="756"/>
        <v>#REF!</v>
      </c>
      <c r="K877" s="257" t="e">
        <f t="shared" si="756"/>
        <v>#REF!</v>
      </c>
      <c r="L877" s="257" t="e">
        <f t="shared" si="756"/>
        <v>#REF!</v>
      </c>
      <c r="M877" s="257" t="e">
        <f t="shared" si="757"/>
        <v>#REF!</v>
      </c>
      <c r="N877" s="257" t="e">
        <f t="shared" si="758"/>
        <v>#REF!</v>
      </c>
      <c r="O877" s="257" t="e">
        <f t="shared" si="755"/>
        <v>#REF!</v>
      </c>
    </row>
    <row r="878" spans="1:15" ht="12.75" hidden="1" customHeight="1" x14ac:dyDescent="0.2">
      <c r="A878" s="259" t="s">
        <v>320</v>
      </c>
      <c r="B878" s="271">
        <v>803</v>
      </c>
      <c r="C878" s="252" t="s">
        <v>200</v>
      </c>
      <c r="D878" s="252" t="s">
        <v>194</v>
      </c>
      <c r="E878" s="252" t="s">
        <v>32</v>
      </c>
      <c r="F878" s="252" t="s">
        <v>321</v>
      </c>
      <c r="G878" s="257" t="e">
        <v>#REF!</v>
      </c>
      <c r="H878" s="257" t="e">
        <v>#REF!</v>
      </c>
      <c r="I878" s="257" t="e">
        <v>#REF!</v>
      </c>
      <c r="J878" s="257" t="e">
        <f t="shared" si="756"/>
        <v>#REF!</v>
      </c>
      <c r="K878" s="257" t="e">
        <f t="shared" si="756"/>
        <v>#REF!</v>
      </c>
      <c r="L878" s="257" t="e">
        <f t="shared" si="756"/>
        <v>#REF!</v>
      </c>
      <c r="M878" s="257" t="e">
        <f t="shared" si="757"/>
        <v>#REF!</v>
      </c>
      <c r="N878" s="257" t="e">
        <f t="shared" si="758"/>
        <v>#REF!</v>
      </c>
      <c r="O878" s="257" t="e">
        <f t="shared" si="755"/>
        <v>#REF!</v>
      </c>
    </row>
    <row r="879" spans="1:15" ht="12.75" hidden="1" customHeight="1" x14ac:dyDescent="0.2">
      <c r="A879" s="462" t="s">
        <v>33</v>
      </c>
      <c r="B879" s="249">
        <v>803</v>
      </c>
      <c r="C879" s="250" t="s">
        <v>200</v>
      </c>
      <c r="D879" s="250" t="s">
        <v>198</v>
      </c>
      <c r="E879" s="250"/>
      <c r="F879" s="250"/>
      <c r="G879" s="257" t="e">
        <v>#REF!</v>
      </c>
      <c r="H879" s="257" t="e">
        <v>#REF!</v>
      </c>
      <c r="I879" s="257" t="e">
        <v>#REF!</v>
      </c>
      <c r="J879" s="257" t="e">
        <f t="shared" si="756"/>
        <v>#REF!</v>
      </c>
      <c r="K879" s="257" t="e">
        <f t="shared" si="756"/>
        <v>#REF!</v>
      </c>
      <c r="L879" s="257" t="e">
        <f t="shared" si="756"/>
        <v>#REF!</v>
      </c>
      <c r="M879" s="257" t="e">
        <f t="shared" si="757"/>
        <v>#REF!</v>
      </c>
      <c r="N879" s="257" t="e">
        <f t="shared" si="758"/>
        <v>#REF!</v>
      </c>
      <c r="O879" s="257" t="e">
        <f t="shared" si="755"/>
        <v>#REF!</v>
      </c>
    </row>
    <row r="880" spans="1:15" ht="38.25" hidden="1" customHeight="1" x14ac:dyDescent="0.2">
      <c r="A880" s="259" t="s">
        <v>123</v>
      </c>
      <c r="B880" s="271">
        <v>803</v>
      </c>
      <c r="C880" s="252" t="s">
        <v>200</v>
      </c>
      <c r="D880" s="252" t="s">
        <v>198</v>
      </c>
      <c r="E880" s="260" t="s">
        <v>332</v>
      </c>
      <c r="F880" s="252"/>
      <c r="G880" s="257" t="e">
        <v>#REF!</v>
      </c>
      <c r="H880" s="257" t="e">
        <v>#REF!</v>
      </c>
      <c r="I880" s="257" t="e">
        <v>#REF!</v>
      </c>
      <c r="J880" s="257" t="e">
        <f t="shared" si="756"/>
        <v>#REF!</v>
      </c>
      <c r="K880" s="257" t="e">
        <f t="shared" si="756"/>
        <v>#REF!</v>
      </c>
      <c r="L880" s="257" t="e">
        <f t="shared" si="756"/>
        <v>#REF!</v>
      </c>
      <c r="M880" s="257" t="e">
        <f t="shared" si="757"/>
        <v>#REF!</v>
      </c>
      <c r="N880" s="257" t="e">
        <f t="shared" si="758"/>
        <v>#REF!</v>
      </c>
      <c r="O880" s="257" t="e">
        <f t="shared" si="755"/>
        <v>#REF!</v>
      </c>
    </row>
    <row r="881" spans="1:15" ht="12.75" hidden="1" customHeight="1" x14ac:dyDescent="0.2">
      <c r="A881" s="259" t="s">
        <v>333</v>
      </c>
      <c r="B881" s="271">
        <v>803</v>
      </c>
      <c r="C881" s="252" t="s">
        <v>200</v>
      </c>
      <c r="D881" s="252" t="s">
        <v>198</v>
      </c>
      <c r="E881" s="260" t="s">
        <v>334</v>
      </c>
      <c r="F881" s="252"/>
      <c r="G881" s="257" t="e">
        <v>#REF!</v>
      </c>
      <c r="H881" s="257" t="e">
        <v>#REF!</v>
      </c>
      <c r="I881" s="257" t="e">
        <v>#REF!</v>
      </c>
      <c r="J881" s="257" t="e">
        <f t="shared" si="756"/>
        <v>#REF!</v>
      </c>
      <c r="K881" s="257" t="e">
        <f t="shared" si="756"/>
        <v>#REF!</v>
      </c>
      <c r="L881" s="257" t="e">
        <f t="shared" si="756"/>
        <v>#REF!</v>
      </c>
      <c r="M881" s="257" t="e">
        <f t="shared" si="757"/>
        <v>#REF!</v>
      </c>
      <c r="N881" s="257" t="e">
        <f t="shared" si="758"/>
        <v>#REF!</v>
      </c>
      <c r="O881" s="257" t="e">
        <f t="shared" si="755"/>
        <v>#REF!</v>
      </c>
    </row>
    <row r="882" spans="1:15" ht="12.75" hidden="1" customHeight="1" x14ac:dyDescent="0.2">
      <c r="A882" s="259" t="s">
        <v>320</v>
      </c>
      <c r="B882" s="271">
        <v>803</v>
      </c>
      <c r="C882" s="252" t="s">
        <v>200</v>
      </c>
      <c r="D882" s="252" t="s">
        <v>198</v>
      </c>
      <c r="E882" s="260" t="s">
        <v>334</v>
      </c>
      <c r="F882" s="252" t="s">
        <v>321</v>
      </c>
      <c r="G882" s="257" t="e">
        <v>#REF!</v>
      </c>
      <c r="H882" s="257" t="e">
        <v>#REF!</v>
      </c>
      <c r="I882" s="257" t="e">
        <v>#REF!</v>
      </c>
      <c r="J882" s="257" t="e">
        <f t="shared" si="756"/>
        <v>#REF!</v>
      </c>
      <c r="K882" s="257" t="e">
        <f t="shared" si="756"/>
        <v>#REF!</v>
      </c>
      <c r="L882" s="257" t="e">
        <f t="shared" si="756"/>
        <v>#REF!</v>
      </c>
      <c r="M882" s="257" t="e">
        <f t="shared" si="757"/>
        <v>#REF!</v>
      </c>
      <c r="N882" s="257" t="e">
        <f t="shared" si="758"/>
        <v>#REF!</v>
      </c>
      <c r="O882" s="257" t="e">
        <f t="shared" si="755"/>
        <v>#REF!</v>
      </c>
    </row>
    <row r="883" spans="1:15" ht="12.75" hidden="1" customHeight="1" x14ac:dyDescent="0.2">
      <c r="A883" s="259" t="s">
        <v>302</v>
      </c>
      <c r="B883" s="271">
        <v>803</v>
      </c>
      <c r="C883" s="252" t="s">
        <v>200</v>
      </c>
      <c r="D883" s="252" t="s">
        <v>198</v>
      </c>
      <c r="E883" s="260" t="s">
        <v>334</v>
      </c>
      <c r="F883" s="252" t="s">
        <v>303</v>
      </c>
      <c r="G883" s="257" t="e">
        <v>#REF!</v>
      </c>
      <c r="H883" s="257" t="e">
        <v>#REF!</v>
      </c>
      <c r="I883" s="257" t="e">
        <v>#REF!</v>
      </c>
      <c r="J883" s="257" t="e">
        <f t="shared" si="756"/>
        <v>#REF!</v>
      </c>
      <c r="K883" s="257" t="e">
        <f t="shared" si="756"/>
        <v>#REF!</v>
      </c>
      <c r="L883" s="257" t="e">
        <f t="shared" si="756"/>
        <v>#REF!</v>
      </c>
      <c r="M883" s="257" t="e">
        <f t="shared" si="757"/>
        <v>#REF!</v>
      </c>
      <c r="N883" s="257" t="e">
        <f t="shared" si="758"/>
        <v>#REF!</v>
      </c>
      <c r="O883" s="257" t="e">
        <f t="shared" si="755"/>
        <v>#REF!</v>
      </c>
    </row>
    <row r="884" spans="1:15" ht="25.5" hidden="1" customHeight="1" x14ac:dyDescent="0.2">
      <c r="A884" s="259" t="s">
        <v>34</v>
      </c>
      <c r="B884" s="271">
        <v>803</v>
      </c>
      <c r="C884" s="252" t="s">
        <v>200</v>
      </c>
      <c r="D884" s="252" t="s">
        <v>198</v>
      </c>
      <c r="E884" s="260" t="s">
        <v>35</v>
      </c>
      <c r="F884" s="252"/>
      <c r="G884" s="257" t="e">
        <v>#REF!</v>
      </c>
      <c r="H884" s="257" t="e">
        <v>#REF!</v>
      </c>
      <c r="I884" s="257" t="e">
        <v>#REF!</v>
      </c>
      <c r="J884" s="257" t="e">
        <f t="shared" si="756"/>
        <v>#REF!</v>
      </c>
      <c r="K884" s="257" t="e">
        <f t="shared" si="756"/>
        <v>#REF!</v>
      </c>
      <c r="L884" s="257" t="e">
        <f t="shared" si="756"/>
        <v>#REF!</v>
      </c>
      <c r="M884" s="257" t="e">
        <f t="shared" si="757"/>
        <v>#REF!</v>
      </c>
      <c r="N884" s="257" t="e">
        <f t="shared" si="758"/>
        <v>#REF!</v>
      </c>
      <c r="O884" s="257" t="e">
        <f t="shared" si="755"/>
        <v>#REF!</v>
      </c>
    </row>
    <row r="885" spans="1:15" ht="12.75" hidden="1" customHeight="1" x14ac:dyDescent="0.2">
      <c r="A885" s="259" t="s">
        <v>320</v>
      </c>
      <c r="B885" s="271">
        <v>803</v>
      </c>
      <c r="C885" s="252" t="s">
        <v>200</v>
      </c>
      <c r="D885" s="252" t="s">
        <v>198</v>
      </c>
      <c r="E885" s="260" t="s">
        <v>35</v>
      </c>
      <c r="F885" s="252" t="s">
        <v>321</v>
      </c>
      <c r="G885" s="257" t="e">
        <v>#REF!</v>
      </c>
      <c r="H885" s="257" t="e">
        <v>#REF!</v>
      </c>
      <c r="I885" s="257" t="e">
        <v>#REF!</v>
      </c>
      <c r="J885" s="257" t="e">
        <f t="shared" si="756"/>
        <v>#REF!</v>
      </c>
      <c r="K885" s="257" t="e">
        <f t="shared" si="756"/>
        <v>#REF!</v>
      </c>
      <c r="L885" s="257" t="e">
        <f t="shared" si="756"/>
        <v>#REF!</v>
      </c>
      <c r="M885" s="257" t="e">
        <f t="shared" si="757"/>
        <v>#REF!</v>
      </c>
      <c r="N885" s="257" t="e">
        <f t="shared" si="758"/>
        <v>#REF!</v>
      </c>
      <c r="O885" s="257" t="e">
        <f t="shared" si="755"/>
        <v>#REF!</v>
      </c>
    </row>
    <row r="886" spans="1:15" ht="12.75" hidden="1" customHeight="1" x14ac:dyDescent="0.2">
      <c r="A886" s="462" t="s">
        <v>70</v>
      </c>
      <c r="B886" s="249">
        <v>803</v>
      </c>
      <c r="C886" s="250">
        <v>11</v>
      </c>
      <c r="D886" s="250"/>
      <c r="E886" s="250"/>
      <c r="F886" s="250"/>
      <c r="G886" s="257" t="e">
        <v>#REF!</v>
      </c>
      <c r="H886" s="257" t="e">
        <v>#REF!</v>
      </c>
      <c r="I886" s="257" t="e">
        <v>#REF!</v>
      </c>
      <c r="J886" s="257" t="e">
        <f t="shared" si="756"/>
        <v>#REF!</v>
      </c>
      <c r="K886" s="257" t="e">
        <f t="shared" si="756"/>
        <v>#REF!</v>
      </c>
      <c r="L886" s="257" t="e">
        <f t="shared" si="756"/>
        <v>#REF!</v>
      </c>
      <c r="M886" s="257" t="e">
        <f t="shared" si="757"/>
        <v>#REF!</v>
      </c>
      <c r="N886" s="257" t="e">
        <f t="shared" si="758"/>
        <v>#REF!</v>
      </c>
      <c r="O886" s="257" t="e">
        <f t="shared" si="755"/>
        <v>#REF!</v>
      </c>
    </row>
    <row r="887" spans="1:15" ht="25.5" hidden="1" customHeight="1" x14ac:dyDescent="0.2">
      <c r="A887" s="462" t="s">
        <v>289</v>
      </c>
      <c r="B887" s="249">
        <v>803</v>
      </c>
      <c r="C887" s="250">
        <v>11</v>
      </c>
      <c r="D887" s="250" t="s">
        <v>192</v>
      </c>
      <c r="E887" s="250"/>
      <c r="F887" s="250"/>
      <c r="G887" s="257" t="e">
        <v>#REF!</v>
      </c>
      <c r="H887" s="257" t="e">
        <v>#REF!</v>
      </c>
      <c r="I887" s="257" t="e">
        <v>#REF!</v>
      </c>
      <c r="J887" s="257" t="e">
        <f t="shared" si="756"/>
        <v>#REF!</v>
      </c>
      <c r="K887" s="257" t="e">
        <f t="shared" si="756"/>
        <v>#REF!</v>
      </c>
      <c r="L887" s="257" t="e">
        <f t="shared" si="756"/>
        <v>#REF!</v>
      </c>
      <c r="M887" s="257" t="e">
        <f t="shared" si="757"/>
        <v>#REF!</v>
      </c>
      <c r="N887" s="257" t="e">
        <f t="shared" si="758"/>
        <v>#REF!</v>
      </c>
      <c r="O887" s="257" t="e">
        <f t="shared" si="755"/>
        <v>#REF!</v>
      </c>
    </row>
    <row r="888" spans="1:15" ht="12.75" hidden="1" customHeight="1" x14ac:dyDescent="0.2">
      <c r="A888" s="259" t="s">
        <v>11</v>
      </c>
      <c r="B888" s="271">
        <v>803</v>
      </c>
      <c r="C888" s="252">
        <v>11</v>
      </c>
      <c r="D888" s="252" t="s">
        <v>192</v>
      </c>
      <c r="E888" s="252" t="s">
        <v>12</v>
      </c>
      <c r="F888" s="252"/>
      <c r="G888" s="257" t="e">
        <v>#REF!</v>
      </c>
      <c r="H888" s="257" t="e">
        <v>#REF!</v>
      </c>
      <c r="I888" s="257" t="e">
        <v>#REF!</v>
      </c>
      <c r="J888" s="257" t="e">
        <f t="shared" si="756"/>
        <v>#REF!</v>
      </c>
      <c r="K888" s="257" t="e">
        <f t="shared" si="756"/>
        <v>#REF!</v>
      </c>
      <c r="L888" s="257" t="e">
        <f t="shared" si="756"/>
        <v>#REF!</v>
      </c>
      <c r="M888" s="257" t="e">
        <f t="shared" si="757"/>
        <v>#REF!</v>
      </c>
      <c r="N888" s="257" t="e">
        <f t="shared" si="758"/>
        <v>#REF!</v>
      </c>
      <c r="O888" s="257" t="e">
        <f t="shared" si="755"/>
        <v>#REF!</v>
      </c>
    </row>
    <row r="889" spans="1:15" ht="51" hidden="1" customHeight="1" x14ac:dyDescent="0.2">
      <c r="A889" s="259" t="s">
        <v>15</v>
      </c>
      <c r="B889" s="271">
        <v>803</v>
      </c>
      <c r="C889" s="252">
        <v>11</v>
      </c>
      <c r="D889" s="252" t="s">
        <v>192</v>
      </c>
      <c r="E889" s="252" t="s">
        <v>16</v>
      </c>
      <c r="F889" s="252"/>
      <c r="G889" s="257" t="e">
        <v>#REF!</v>
      </c>
      <c r="H889" s="257" t="e">
        <v>#REF!</v>
      </c>
      <c r="I889" s="257" t="e">
        <v>#REF!</v>
      </c>
      <c r="J889" s="257" t="e">
        <f t="shared" si="756"/>
        <v>#REF!</v>
      </c>
      <c r="K889" s="257" t="e">
        <f t="shared" si="756"/>
        <v>#REF!</v>
      </c>
      <c r="L889" s="257" t="e">
        <f t="shared" si="756"/>
        <v>#REF!</v>
      </c>
      <c r="M889" s="257" t="e">
        <f t="shared" si="757"/>
        <v>#REF!</v>
      </c>
      <c r="N889" s="257" t="e">
        <f t="shared" si="758"/>
        <v>#REF!</v>
      </c>
      <c r="O889" s="257" t="e">
        <f t="shared" si="755"/>
        <v>#REF!</v>
      </c>
    </row>
    <row r="890" spans="1:15" ht="12.75" hidden="1" customHeight="1" x14ac:dyDescent="0.2">
      <c r="A890" s="259" t="s">
        <v>153</v>
      </c>
      <c r="B890" s="271">
        <v>803</v>
      </c>
      <c r="C890" s="252">
        <v>11</v>
      </c>
      <c r="D890" s="252" t="s">
        <v>192</v>
      </c>
      <c r="E890" s="252" t="s">
        <v>16</v>
      </c>
      <c r="F890" s="252" t="s">
        <v>154</v>
      </c>
      <c r="G890" s="257" t="e">
        <v>#REF!</v>
      </c>
      <c r="H890" s="257" t="e">
        <v>#REF!</v>
      </c>
      <c r="I890" s="257" t="e">
        <v>#REF!</v>
      </c>
      <c r="J890" s="257" t="e">
        <f t="shared" si="756"/>
        <v>#REF!</v>
      </c>
      <c r="K890" s="257" t="e">
        <f t="shared" si="756"/>
        <v>#REF!</v>
      </c>
      <c r="L890" s="257" t="e">
        <f t="shared" si="756"/>
        <v>#REF!</v>
      </c>
      <c r="M890" s="257" t="e">
        <f t="shared" si="757"/>
        <v>#REF!</v>
      </c>
      <c r="N890" s="257" t="e">
        <f t="shared" si="758"/>
        <v>#REF!</v>
      </c>
      <c r="O890" s="257" t="e">
        <f t="shared" si="755"/>
        <v>#REF!</v>
      </c>
    </row>
    <row r="891" spans="1:15" ht="35.450000000000003" hidden="1" customHeight="1" x14ac:dyDescent="0.2">
      <c r="A891" s="525" t="s">
        <v>36</v>
      </c>
      <c r="B891" s="526"/>
      <c r="C891" s="526"/>
      <c r="D891" s="526"/>
      <c r="E891" s="526"/>
      <c r="F891" s="526"/>
      <c r="G891" s="257" t="e">
        <v>#REF!</v>
      </c>
      <c r="H891" s="257" t="e">
        <v>#REF!</v>
      </c>
      <c r="I891" s="257" t="e">
        <v>#REF!</v>
      </c>
      <c r="J891" s="257" t="e">
        <f t="shared" si="756"/>
        <v>#REF!</v>
      </c>
      <c r="K891" s="257" t="e">
        <f t="shared" si="756"/>
        <v>#REF!</v>
      </c>
      <c r="L891" s="257" t="e">
        <f t="shared" si="756"/>
        <v>#REF!</v>
      </c>
      <c r="M891" s="257" t="e">
        <f t="shared" si="757"/>
        <v>#REF!</v>
      </c>
      <c r="N891" s="257" t="e">
        <f t="shared" si="758"/>
        <v>#REF!</v>
      </c>
      <c r="O891" s="257" t="e">
        <f t="shared" si="755"/>
        <v>#REF!</v>
      </c>
    </row>
    <row r="892" spans="1:15" ht="12.75" hidden="1" customHeight="1" x14ac:dyDescent="0.2">
      <c r="A892" s="462" t="s">
        <v>306</v>
      </c>
      <c r="B892" s="250" t="s">
        <v>37</v>
      </c>
      <c r="C892" s="250" t="s">
        <v>196</v>
      </c>
      <c r="D892" s="250"/>
      <c r="E892" s="250"/>
      <c r="F892" s="250"/>
      <c r="G892" s="257" t="e">
        <v>#REF!</v>
      </c>
      <c r="H892" s="257" t="e">
        <v>#REF!</v>
      </c>
      <c r="I892" s="257" t="e">
        <v>#REF!</v>
      </c>
      <c r="J892" s="257" t="e">
        <f t="shared" si="756"/>
        <v>#REF!</v>
      </c>
      <c r="K892" s="257" t="e">
        <f t="shared" si="756"/>
        <v>#REF!</v>
      </c>
      <c r="L892" s="257" t="e">
        <f t="shared" si="756"/>
        <v>#REF!</v>
      </c>
      <c r="M892" s="257" t="e">
        <f t="shared" si="757"/>
        <v>#REF!</v>
      </c>
      <c r="N892" s="257" t="e">
        <f t="shared" si="758"/>
        <v>#REF!</v>
      </c>
      <c r="O892" s="257" t="e">
        <f t="shared" si="755"/>
        <v>#REF!</v>
      </c>
    </row>
    <row r="893" spans="1:15" ht="12.75" hidden="1" customHeight="1" x14ac:dyDescent="0.2">
      <c r="A893" s="462" t="s">
        <v>38</v>
      </c>
      <c r="B893" s="250" t="s">
        <v>37</v>
      </c>
      <c r="C893" s="250" t="s">
        <v>196</v>
      </c>
      <c r="D893" s="250" t="s">
        <v>233</v>
      </c>
      <c r="E893" s="250"/>
      <c r="F893" s="250"/>
      <c r="G893" s="257" t="e">
        <v>#REF!</v>
      </c>
      <c r="H893" s="257" t="e">
        <v>#REF!</v>
      </c>
      <c r="I893" s="257" t="e">
        <v>#REF!</v>
      </c>
      <c r="J893" s="257" t="e">
        <f t="shared" si="756"/>
        <v>#REF!</v>
      </c>
      <c r="K893" s="257" t="e">
        <f t="shared" si="756"/>
        <v>#REF!</v>
      </c>
      <c r="L893" s="257" t="e">
        <f t="shared" si="756"/>
        <v>#REF!</v>
      </c>
      <c r="M893" s="257" t="e">
        <f t="shared" si="757"/>
        <v>#REF!</v>
      </c>
      <c r="N893" s="257" t="e">
        <f t="shared" si="758"/>
        <v>#REF!</v>
      </c>
      <c r="O893" s="257" t="e">
        <f t="shared" si="755"/>
        <v>#REF!</v>
      </c>
    </row>
    <row r="894" spans="1:15" ht="38.25" hidden="1" customHeight="1" x14ac:dyDescent="0.2">
      <c r="A894" s="259" t="s">
        <v>123</v>
      </c>
      <c r="B894" s="252" t="s">
        <v>37</v>
      </c>
      <c r="C894" s="252" t="s">
        <v>196</v>
      </c>
      <c r="D894" s="252" t="s">
        <v>233</v>
      </c>
      <c r="E894" s="260" t="s">
        <v>332</v>
      </c>
      <c r="F894" s="252"/>
      <c r="G894" s="257" t="e">
        <v>#REF!</v>
      </c>
      <c r="H894" s="257" t="e">
        <v>#REF!</v>
      </c>
      <c r="I894" s="257" t="e">
        <v>#REF!</v>
      </c>
      <c r="J894" s="257" t="e">
        <f t="shared" si="756"/>
        <v>#REF!</v>
      </c>
      <c r="K894" s="257" t="e">
        <f t="shared" si="756"/>
        <v>#REF!</v>
      </c>
      <c r="L894" s="257" t="e">
        <f t="shared" si="756"/>
        <v>#REF!</v>
      </c>
      <c r="M894" s="257" t="e">
        <f t="shared" si="757"/>
        <v>#REF!</v>
      </c>
      <c r="N894" s="257" t="e">
        <f t="shared" si="758"/>
        <v>#REF!</v>
      </c>
      <c r="O894" s="257" t="e">
        <f t="shared" si="755"/>
        <v>#REF!</v>
      </c>
    </row>
    <row r="895" spans="1:15" ht="12.75" hidden="1" customHeight="1" x14ac:dyDescent="0.2">
      <c r="A895" s="259" t="s">
        <v>333</v>
      </c>
      <c r="B895" s="252" t="s">
        <v>37</v>
      </c>
      <c r="C895" s="252" t="s">
        <v>196</v>
      </c>
      <c r="D895" s="252" t="s">
        <v>233</v>
      </c>
      <c r="E895" s="260" t="s">
        <v>334</v>
      </c>
      <c r="F895" s="252"/>
      <c r="G895" s="257" t="e">
        <v>#REF!</v>
      </c>
      <c r="H895" s="257" t="e">
        <v>#REF!</v>
      </c>
      <c r="I895" s="257" t="e">
        <v>#REF!</v>
      </c>
      <c r="J895" s="257" t="e">
        <f t="shared" si="756"/>
        <v>#REF!</v>
      </c>
      <c r="K895" s="257" t="e">
        <f t="shared" si="756"/>
        <v>#REF!</v>
      </c>
      <c r="L895" s="257" t="e">
        <f t="shared" si="756"/>
        <v>#REF!</v>
      </c>
      <c r="M895" s="257" t="e">
        <f t="shared" si="757"/>
        <v>#REF!</v>
      </c>
      <c r="N895" s="257" t="e">
        <f t="shared" si="758"/>
        <v>#REF!</v>
      </c>
      <c r="O895" s="257" t="e">
        <f t="shared" si="755"/>
        <v>#REF!</v>
      </c>
    </row>
    <row r="896" spans="1:15" ht="12.75" hidden="1" customHeight="1" x14ac:dyDescent="0.2">
      <c r="A896" s="259" t="s">
        <v>320</v>
      </c>
      <c r="B896" s="252" t="s">
        <v>37</v>
      </c>
      <c r="C896" s="252" t="s">
        <v>196</v>
      </c>
      <c r="D896" s="252" t="s">
        <v>233</v>
      </c>
      <c r="E896" s="260" t="s">
        <v>334</v>
      </c>
      <c r="F896" s="252" t="s">
        <v>321</v>
      </c>
      <c r="G896" s="257" t="e">
        <v>#REF!</v>
      </c>
      <c r="H896" s="257" t="e">
        <v>#REF!</v>
      </c>
      <c r="I896" s="257" t="e">
        <v>#REF!</v>
      </c>
      <c r="J896" s="257" t="e">
        <f t="shared" si="756"/>
        <v>#REF!</v>
      </c>
      <c r="K896" s="257" t="e">
        <f t="shared" si="756"/>
        <v>#REF!</v>
      </c>
      <c r="L896" s="257" t="e">
        <f t="shared" si="756"/>
        <v>#REF!</v>
      </c>
      <c r="M896" s="257" t="e">
        <f t="shared" si="757"/>
        <v>#REF!</v>
      </c>
      <c r="N896" s="257" t="e">
        <f t="shared" si="758"/>
        <v>#REF!</v>
      </c>
      <c r="O896" s="257" t="e">
        <f t="shared" si="755"/>
        <v>#REF!</v>
      </c>
    </row>
    <row r="897" spans="1:15" ht="12.75" hidden="1" customHeight="1" x14ac:dyDescent="0.2">
      <c r="A897" s="259" t="s">
        <v>302</v>
      </c>
      <c r="B897" s="252" t="s">
        <v>37</v>
      </c>
      <c r="C897" s="252" t="s">
        <v>196</v>
      </c>
      <c r="D897" s="252" t="s">
        <v>233</v>
      </c>
      <c r="E897" s="260" t="s">
        <v>334</v>
      </c>
      <c r="F897" s="252" t="s">
        <v>303</v>
      </c>
      <c r="G897" s="257" t="e">
        <v>#REF!</v>
      </c>
      <c r="H897" s="257" t="e">
        <v>#REF!</v>
      </c>
      <c r="I897" s="257" t="e">
        <v>#REF!</v>
      </c>
      <c r="J897" s="257" t="e">
        <f t="shared" si="756"/>
        <v>#REF!</v>
      </c>
      <c r="K897" s="257" t="e">
        <f t="shared" si="756"/>
        <v>#REF!</v>
      </c>
      <c r="L897" s="257" t="e">
        <f t="shared" si="756"/>
        <v>#REF!</v>
      </c>
      <c r="M897" s="257" t="e">
        <f t="shared" si="757"/>
        <v>#REF!</v>
      </c>
      <c r="N897" s="257" t="e">
        <f t="shared" si="758"/>
        <v>#REF!</v>
      </c>
      <c r="O897" s="257" t="e">
        <f t="shared" si="755"/>
        <v>#REF!</v>
      </c>
    </row>
    <row r="898" spans="1:15" ht="25.5" hidden="1" customHeight="1" x14ac:dyDescent="0.2">
      <c r="A898" s="259" t="s">
        <v>39</v>
      </c>
      <c r="B898" s="252" t="s">
        <v>37</v>
      </c>
      <c r="C898" s="252" t="s">
        <v>196</v>
      </c>
      <c r="D898" s="252" t="s">
        <v>233</v>
      </c>
      <c r="E898" s="260" t="s">
        <v>307</v>
      </c>
      <c r="F898" s="252"/>
      <c r="G898" s="257" t="e">
        <v>#REF!</v>
      </c>
      <c r="H898" s="257" t="e">
        <v>#REF!</v>
      </c>
      <c r="I898" s="257" t="e">
        <v>#REF!</v>
      </c>
      <c r="J898" s="257" t="e">
        <f t="shared" si="756"/>
        <v>#REF!</v>
      </c>
      <c r="K898" s="257" t="e">
        <f t="shared" si="756"/>
        <v>#REF!</v>
      </c>
      <c r="L898" s="257" t="e">
        <f t="shared" si="756"/>
        <v>#REF!</v>
      </c>
      <c r="M898" s="257" t="e">
        <f t="shared" si="757"/>
        <v>#REF!</v>
      </c>
      <c r="N898" s="257" t="e">
        <f t="shared" si="758"/>
        <v>#REF!</v>
      </c>
      <c r="O898" s="257" t="e">
        <f t="shared" si="755"/>
        <v>#REF!</v>
      </c>
    </row>
    <row r="899" spans="1:15" ht="12.75" hidden="1" customHeight="1" x14ac:dyDescent="0.2">
      <c r="A899" s="259" t="s">
        <v>320</v>
      </c>
      <c r="B899" s="252" t="s">
        <v>37</v>
      </c>
      <c r="C899" s="252" t="s">
        <v>196</v>
      </c>
      <c r="D899" s="252" t="s">
        <v>233</v>
      </c>
      <c r="E899" s="260" t="s">
        <v>307</v>
      </c>
      <c r="F899" s="252" t="s">
        <v>321</v>
      </c>
      <c r="G899" s="257" t="e">
        <v>#REF!</v>
      </c>
      <c r="H899" s="257" t="e">
        <v>#REF!</v>
      </c>
      <c r="I899" s="257" t="e">
        <v>#REF!</v>
      </c>
      <c r="J899" s="257" t="e">
        <f t="shared" ref="J899:L962" si="759">H899+I899</f>
        <v>#REF!</v>
      </c>
      <c r="K899" s="257" t="e">
        <f t="shared" si="759"/>
        <v>#REF!</v>
      </c>
      <c r="L899" s="257" t="e">
        <f t="shared" si="759"/>
        <v>#REF!</v>
      </c>
      <c r="M899" s="257" t="e">
        <f t="shared" si="757"/>
        <v>#REF!</v>
      </c>
      <c r="N899" s="257" t="e">
        <f t="shared" si="758"/>
        <v>#REF!</v>
      </c>
      <c r="O899" s="257" t="e">
        <f t="shared" si="755"/>
        <v>#REF!</v>
      </c>
    </row>
    <row r="900" spans="1:15" ht="51" hidden="1" customHeight="1" x14ac:dyDescent="0.2">
      <c r="A900" s="525" t="s">
        <v>40</v>
      </c>
      <c r="B900" s="526"/>
      <c r="C900" s="526"/>
      <c r="D900" s="526"/>
      <c r="E900" s="526"/>
      <c r="F900" s="526"/>
      <c r="G900" s="257" t="e">
        <v>#REF!</v>
      </c>
      <c r="H900" s="257" t="e">
        <v>#REF!</v>
      </c>
      <c r="I900" s="257" t="e">
        <v>#REF!</v>
      </c>
      <c r="J900" s="257" t="e">
        <f t="shared" si="759"/>
        <v>#REF!</v>
      </c>
      <c r="K900" s="257" t="e">
        <f t="shared" si="759"/>
        <v>#REF!</v>
      </c>
      <c r="L900" s="257" t="e">
        <f t="shared" si="759"/>
        <v>#REF!</v>
      </c>
      <c r="M900" s="257" t="e">
        <f t="shared" si="757"/>
        <v>#REF!</v>
      </c>
      <c r="N900" s="257" t="e">
        <f t="shared" si="758"/>
        <v>#REF!</v>
      </c>
      <c r="O900" s="257" t="e">
        <f t="shared" si="755"/>
        <v>#REF!</v>
      </c>
    </row>
    <row r="901" spans="1:15" ht="12.75" hidden="1" customHeight="1" x14ac:dyDescent="0.2">
      <c r="A901" s="462" t="s">
        <v>364</v>
      </c>
      <c r="B901" s="249">
        <v>811</v>
      </c>
      <c r="C901" s="250" t="s">
        <v>192</v>
      </c>
      <c r="D901" s="250"/>
      <c r="E901" s="250"/>
      <c r="F901" s="250"/>
      <c r="G901" s="257" t="e">
        <v>#REF!</v>
      </c>
      <c r="H901" s="257" t="e">
        <v>#REF!</v>
      </c>
      <c r="I901" s="257" t="e">
        <v>#REF!</v>
      </c>
      <c r="J901" s="257" t="e">
        <f t="shared" si="759"/>
        <v>#REF!</v>
      </c>
      <c r="K901" s="257" t="e">
        <f t="shared" si="759"/>
        <v>#REF!</v>
      </c>
      <c r="L901" s="257" t="e">
        <f t="shared" si="759"/>
        <v>#REF!</v>
      </c>
      <c r="M901" s="257" t="e">
        <f t="shared" si="757"/>
        <v>#REF!</v>
      </c>
      <c r="N901" s="257" t="e">
        <f t="shared" si="758"/>
        <v>#REF!</v>
      </c>
      <c r="O901" s="257" t="e">
        <f t="shared" si="755"/>
        <v>#REF!</v>
      </c>
    </row>
    <row r="902" spans="1:15" ht="12.75" hidden="1" customHeight="1" x14ac:dyDescent="0.2">
      <c r="A902" s="462" t="s">
        <v>250</v>
      </c>
      <c r="B902" s="249">
        <v>811</v>
      </c>
      <c r="C902" s="250" t="s">
        <v>192</v>
      </c>
      <c r="D902" s="250" t="s">
        <v>196</v>
      </c>
      <c r="E902" s="250"/>
      <c r="F902" s="250"/>
      <c r="G902" s="257" t="e">
        <v>#REF!</v>
      </c>
      <c r="H902" s="257" t="e">
        <v>#REF!</v>
      </c>
      <c r="I902" s="257" t="e">
        <v>#REF!</v>
      </c>
      <c r="J902" s="257" t="e">
        <f t="shared" si="759"/>
        <v>#REF!</v>
      </c>
      <c r="K902" s="257" t="e">
        <f t="shared" si="759"/>
        <v>#REF!</v>
      </c>
      <c r="L902" s="257" t="e">
        <f t="shared" si="759"/>
        <v>#REF!</v>
      </c>
      <c r="M902" s="257" t="e">
        <f t="shared" si="757"/>
        <v>#REF!</v>
      </c>
      <c r="N902" s="257" t="e">
        <f t="shared" si="758"/>
        <v>#REF!</v>
      </c>
      <c r="O902" s="257" t="e">
        <f t="shared" si="755"/>
        <v>#REF!</v>
      </c>
    </row>
    <row r="903" spans="1:15" ht="25.5" hidden="1" customHeight="1" x14ac:dyDescent="0.2">
      <c r="A903" s="259" t="s">
        <v>251</v>
      </c>
      <c r="B903" s="271">
        <v>811</v>
      </c>
      <c r="C903" s="252" t="s">
        <v>192</v>
      </c>
      <c r="D903" s="252" t="s">
        <v>196</v>
      </c>
      <c r="E903" s="252" t="s">
        <v>252</v>
      </c>
      <c r="F903" s="252"/>
      <c r="G903" s="257" t="e">
        <v>#REF!</v>
      </c>
      <c r="H903" s="257" t="e">
        <v>#REF!</v>
      </c>
      <c r="I903" s="257" t="e">
        <v>#REF!</v>
      </c>
      <c r="J903" s="257" t="e">
        <f t="shared" si="759"/>
        <v>#REF!</v>
      </c>
      <c r="K903" s="257" t="e">
        <f t="shared" si="759"/>
        <v>#REF!</v>
      </c>
      <c r="L903" s="257" t="e">
        <f t="shared" si="759"/>
        <v>#REF!</v>
      </c>
      <c r="M903" s="257" t="e">
        <f t="shared" si="757"/>
        <v>#REF!</v>
      </c>
      <c r="N903" s="257" t="e">
        <f t="shared" si="758"/>
        <v>#REF!</v>
      </c>
      <c r="O903" s="257" t="e">
        <f t="shared" si="755"/>
        <v>#REF!</v>
      </c>
    </row>
    <row r="904" spans="1:15" ht="25.5" hidden="1" customHeight="1" x14ac:dyDescent="0.2">
      <c r="A904" s="259" t="s">
        <v>253</v>
      </c>
      <c r="B904" s="271">
        <v>811</v>
      </c>
      <c r="C904" s="252" t="s">
        <v>192</v>
      </c>
      <c r="D904" s="252" t="s">
        <v>196</v>
      </c>
      <c r="E904" s="252" t="s">
        <v>254</v>
      </c>
      <c r="F904" s="252"/>
      <c r="G904" s="257" t="e">
        <v>#REF!</v>
      </c>
      <c r="H904" s="257" t="e">
        <v>#REF!</v>
      </c>
      <c r="I904" s="257" t="e">
        <v>#REF!</v>
      </c>
      <c r="J904" s="257" t="e">
        <f t="shared" si="759"/>
        <v>#REF!</v>
      </c>
      <c r="K904" s="257" t="e">
        <f t="shared" si="759"/>
        <v>#REF!</v>
      </c>
      <c r="L904" s="257" t="e">
        <f t="shared" si="759"/>
        <v>#REF!</v>
      </c>
      <c r="M904" s="257" t="e">
        <f t="shared" si="757"/>
        <v>#REF!</v>
      </c>
      <c r="N904" s="257" t="e">
        <f t="shared" si="758"/>
        <v>#REF!</v>
      </c>
      <c r="O904" s="257" t="e">
        <f t="shared" si="755"/>
        <v>#REF!</v>
      </c>
    </row>
    <row r="905" spans="1:15" ht="12.75" hidden="1" customHeight="1" x14ac:dyDescent="0.2">
      <c r="A905" s="259" t="s">
        <v>320</v>
      </c>
      <c r="B905" s="271">
        <v>811</v>
      </c>
      <c r="C905" s="252" t="s">
        <v>192</v>
      </c>
      <c r="D905" s="252" t="s">
        <v>196</v>
      </c>
      <c r="E905" s="252" t="s">
        <v>254</v>
      </c>
      <c r="F905" s="252" t="s">
        <v>321</v>
      </c>
      <c r="G905" s="257" t="e">
        <v>#REF!</v>
      </c>
      <c r="H905" s="257" t="e">
        <v>#REF!</v>
      </c>
      <c r="I905" s="257" t="e">
        <v>#REF!</v>
      </c>
      <c r="J905" s="257" t="e">
        <f t="shared" si="759"/>
        <v>#REF!</v>
      </c>
      <c r="K905" s="257" t="e">
        <f t="shared" si="759"/>
        <v>#REF!</v>
      </c>
      <c r="L905" s="257" t="e">
        <f t="shared" si="759"/>
        <v>#REF!</v>
      </c>
      <c r="M905" s="257" t="e">
        <f t="shared" si="757"/>
        <v>#REF!</v>
      </c>
      <c r="N905" s="257" t="e">
        <f t="shared" si="758"/>
        <v>#REF!</v>
      </c>
      <c r="O905" s="257" t="e">
        <f t="shared" si="755"/>
        <v>#REF!</v>
      </c>
    </row>
    <row r="906" spans="1:15" ht="12.75" hidden="1" customHeight="1" x14ac:dyDescent="0.2">
      <c r="A906" s="462" t="s">
        <v>236</v>
      </c>
      <c r="B906" s="249">
        <v>811</v>
      </c>
      <c r="C906" s="250" t="s">
        <v>194</v>
      </c>
      <c r="D906" s="250"/>
      <c r="E906" s="250"/>
      <c r="F906" s="250"/>
      <c r="G906" s="257" t="e">
        <v>#REF!</v>
      </c>
      <c r="H906" s="257" t="e">
        <v>#REF!</v>
      </c>
      <c r="I906" s="257" t="e">
        <v>#REF!</v>
      </c>
      <c r="J906" s="257" t="e">
        <f t="shared" si="759"/>
        <v>#REF!</v>
      </c>
      <c r="K906" s="257" t="e">
        <f t="shared" si="759"/>
        <v>#REF!</v>
      </c>
      <c r="L906" s="257" t="e">
        <f t="shared" si="759"/>
        <v>#REF!</v>
      </c>
      <c r="M906" s="257" t="e">
        <f t="shared" ref="M906:M937" si="760">L906+L906</f>
        <v>#REF!</v>
      </c>
      <c r="N906" s="257" t="e">
        <f t="shared" ref="N906:N937" si="761">L906+M906</f>
        <v>#REF!</v>
      </c>
      <c r="O906" s="257" t="e">
        <f t="shared" si="755"/>
        <v>#REF!</v>
      </c>
    </row>
    <row r="907" spans="1:15" ht="25.5" hidden="1" customHeight="1" x14ac:dyDescent="0.2">
      <c r="A907" s="462" t="s">
        <v>255</v>
      </c>
      <c r="B907" s="249">
        <v>811</v>
      </c>
      <c r="C907" s="250" t="s">
        <v>194</v>
      </c>
      <c r="D907" s="250" t="s">
        <v>212</v>
      </c>
      <c r="E907" s="250"/>
      <c r="F907" s="250"/>
      <c r="G907" s="257" t="e">
        <v>#REF!</v>
      </c>
      <c r="H907" s="257" t="e">
        <v>#REF!</v>
      </c>
      <c r="I907" s="257" t="e">
        <v>#REF!</v>
      </c>
      <c r="J907" s="257" t="e">
        <f t="shared" si="759"/>
        <v>#REF!</v>
      </c>
      <c r="K907" s="257" t="e">
        <f t="shared" si="759"/>
        <v>#REF!</v>
      </c>
      <c r="L907" s="257" t="e">
        <f t="shared" si="759"/>
        <v>#REF!</v>
      </c>
      <c r="M907" s="257" t="e">
        <f t="shared" si="760"/>
        <v>#REF!</v>
      </c>
      <c r="N907" s="257" t="e">
        <f t="shared" si="761"/>
        <v>#REF!</v>
      </c>
      <c r="O907" s="257" t="e">
        <f t="shared" si="755"/>
        <v>#REF!</v>
      </c>
    </row>
    <row r="908" spans="1:15" ht="12.75" hidden="1" customHeight="1" x14ac:dyDescent="0.2">
      <c r="A908" s="259" t="s">
        <v>237</v>
      </c>
      <c r="B908" s="271">
        <v>811</v>
      </c>
      <c r="C908" s="252" t="s">
        <v>194</v>
      </c>
      <c r="D908" s="252" t="s">
        <v>212</v>
      </c>
      <c r="E908" s="252" t="s">
        <v>238</v>
      </c>
      <c r="F908" s="252"/>
      <c r="G908" s="257" t="e">
        <v>#REF!</v>
      </c>
      <c r="H908" s="257" t="e">
        <v>#REF!</v>
      </c>
      <c r="I908" s="257" t="e">
        <v>#REF!</v>
      </c>
      <c r="J908" s="257" t="e">
        <f t="shared" si="759"/>
        <v>#REF!</v>
      </c>
      <c r="K908" s="257" t="e">
        <f t="shared" si="759"/>
        <v>#REF!</v>
      </c>
      <c r="L908" s="257" t="e">
        <f t="shared" si="759"/>
        <v>#REF!</v>
      </c>
      <c r="M908" s="257" t="e">
        <f t="shared" si="760"/>
        <v>#REF!</v>
      </c>
      <c r="N908" s="257" t="e">
        <f t="shared" si="761"/>
        <v>#REF!</v>
      </c>
      <c r="O908" s="257" t="e">
        <f t="shared" si="755"/>
        <v>#REF!</v>
      </c>
    </row>
    <row r="909" spans="1:15" ht="38.25" hidden="1" customHeight="1" x14ac:dyDescent="0.2">
      <c r="A909" s="259" t="s">
        <v>41</v>
      </c>
      <c r="B909" s="271">
        <v>811</v>
      </c>
      <c r="C909" s="252" t="s">
        <v>194</v>
      </c>
      <c r="D909" s="252" t="s">
        <v>212</v>
      </c>
      <c r="E909" s="252" t="s">
        <v>241</v>
      </c>
      <c r="F909" s="252"/>
      <c r="G909" s="257" t="e">
        <v>#REF!</v>
      </c>
      <c r="H909" s="257" t="e">
        <v>#REF!</v>
      </c>
      <c r="I909" s="257" t="e">
        <v>#REF!</v>
      </c>
      <c r="J909" s="257" t="e">
        <f t="shared" si="759"/>
        <v>#REF!</v>
      </c>
      <c r="K909" s="257" t="e">
        <f t="shared" si="759"/>
        <v>#REF!</v>
      </c>
      <c r="L909" s="257" t="e">
        <f t="shared" si="759"/>
        <v>#REF!</v>
      </c>
      <c r="M909" s="257" t="e">
        <f t="shared" si="760"/>
        <v>#REF!</v>
      </c>
      <c r="N909" s="257" t="e">
        <f t="shared" si="761"/>
        <v>#REF!</v>
      </c>
      <c r="O909" s="257" t="e">
        <f t="shared" ref="O909:O963" si="762">M909+N909</f>
        <v>#REF!</v>
      </c>
    </row>
    <row r="910" spans="1:15" ht="25.5" hidden="1" customHeight="1" x14ac:dyDescent="0.2">
      <c r="A910" s="259" t="s">
        <v>239</v>
      </c>
      <c r="B910" s="271">
        <v>811</v>
      </c>
      <c r="C910" s="252" t="s">
        <v>194</v>
      </c>
      <c r="D910" s="252" t="s">
        <v>212</v>
      </c>
      <c r="E910" s="252" t="s">
        <v>241</v>
      </c>
      <c r="F910" s="252" t="s">
        <v>240</v>
      </c>
      <c r="G910" s="257" t="e">
        <v>#REF!</v>
      </c>
      <c r="H910" s="257" t="e">
        <v>#REF!</v>
      </c>
      <c r="I910" s="257" t="e">
        <v>#REF!</v>
      </c>
      <c r="J910" s="257" t="e">
        <f t="shared" si="759"/>
        <v>#REF!</v>
      </c>
      <c r="K910" s="257" t="e">
        <f t="shared" si="759"/>
        <v>#REF!</v>
      </c>
      <c r="L910" s="257" t="e">
        <f t="shared" si="759"/>
        <v>#REF!</v>
      </c>
      <c r="M910" s="257" t="e">
        <f t="shared" si="760"/>
        <v>#REF!</v>
      </c>
      <c r="N910" s="257" t="e">
        <f t="shared" si="761"/>
        <v>#REF!</v>
      </c>
      <c r="O910" s="257" t="e">
        <f t="shared" si="762"/>
        <v>#REF!</v>
      </c>
    </row>
    <row r="911" spans="1:15" ht="38.25" hidden="1" customHeight="1" x14ac:dyDescent="0.2">
      <c r="A911" s="259" t="s">
        <v>242</v>
      </c>
      <c r="B911" s="271">
        <v>811</v>
      </c>
      <c r="C911" s="252" t="s">
        <v>194</v>
      </c>
      <c r="D911" s="252" t="s">
        <v>212</v>
      </c>
      <c r="E911" s="252" t="s">
        <v>243</v>
      </c>
      <c r="F911" s="252"/>
      <c r="G911" s="257" t="e">
        <v>#REF!</v>
      </c>
      <c r="H911" s="257" t="e">
        <v>#REF!</v>
      </c>
      <c r="I911" s="257" t="e">
        <v>#REF!</v>
      </c>
      <c r="J911" s="257" t="e">
        <f t="shared" si="759"/>
        <v>#REF!</v>
      </c>
      <c r="K911" s="257" t="e">
        <f t="shared" si="759"/>
        <v>#REF!</v>
      </c>
      <c r="L911" s="257" t="e">
        <f t="shared" si="759"/>
        <v>#REF!</v>
      </c>
      <c r="M911" s="257" t="e">
        <f t="shared" si="760"/>
        <v>#REF!</v>
      </c>
      <c r="N911" s="257" t="e">
        <f t="shared" si="761"/>
        <v>#REF!</v>
      </c>
      <c r="O911" s="257" t="e">
        <f t="shared" si="762"/>
        <v>#REF!</v>
      </c>
    </row>
    <row r="912" spans="1:15" ht="25.5" hidden="1" customHeight="1" x14ac:dyDescent="0.2">
      <c r="A912" s="259" t="s">
        <v>239</v>
      </c>
      <c r="B912" s="271">
        <v>811</v>
      </c>
      <c r="C912" s="252" t="s">
        <v>194</v>
      </c>
      <c r="D912" s="252" t="s">
        <v>212</v>
      </c>
      <c r="E912" s="252" t="s">
        <v>243</v>
      </c>
      <c r="F912" s="252" t="s">
        <v>240</v>
      </c>
      <c r="G912" s="257" t="e">
        <v>#REF!</v>
      </c>
      <c r="H912" s="257" t="e">
        <v>#REF!</v>
      </c>
      <c r="I912" s="257" t="e">
        <v>#REF!</v>
      </c>
      <c r="J912" s="257" t="e">
        <f t="shared" si="759"/>
        <v>#REF!</v>
      </c>
      <c r="K912" s="257" t="e">
        <f t="shared" si="759"/>
        <v>#REF!</v>
      </c>
      <c r="L912" s="257" t="e">
        <f t="shared" si="759"/>
        <v>#REF!</v>
      </c>
      <c r="M912" s="257" t="e">
        <f t="shared" si="760"/>
        <v>#REF!</v>
      </c>
      <c r="N912" s="257" t="e">
        <f t="shared" si="761"/>
        <v>#REF!</v>
      </c>
      <c r="O912" s="257" t="e">
        <f t="shared" si="762"/>
        <v>#REF!</v>
      </c>
    </row>
    <row r="913" spans="1:15" ht="25.5" hidden="1" customHeight="1" x14ac:dyDescent="0.2">
      <c r="A913" s="259" t="s">
        <v>256</v>
      </c>
      <c r="B913" s="271">
        <v>811</v>
      </c>
      <c r="C913" s="252" t="s">
        <v>194</v>
      </c>
      <c r="D913" s="252" t="s">
        <v>212</v>
      </c>
      <c r="E913" s="252" t="s">
        <v>257</v>
      </c>
      <c r="F913" s="252"/>
      <c r="G913" s="257" t="e">
        <v>#REF!</v>
      </c>
      <c r="H913" s="257" t="e">
        <v>#REF!</v>
      </c>
      <c r="I913" s="257" t="e">
        <v>#REF!</v>
      </c>
      <c r="J913" s="257" t="e">
        <f t="shared" si="759"/>
        <v>#REF!</v>
      </c>
      <c r="K913" s="257" t="e">
        <f t="shared" si="759"/>
        <v>#REF!</v>
      </c>
      <c r="L913" s="257" t="e">
        <f t="shared" si="759"/>
        <v>#REF!</v>
      </c>
      <c r="M913" s="257" t="e">
        <f t="shared" si="760"/>
        <v>#REF!</v>
      </c>
      <c r="N913" s="257" t="e">
        <f t="shared" si="761"/>
        <v>#REF!</v>
      </c>
      <c r="O913" s="257" t="e">
        <f t="shared" si="762"/>
        <v>#REF!</v>
      </c>
    </row>
    <row r="914" spans="1:15" ht="25.5" hidden="1" customHeight="1" x14ac:dyDescent="0.2">
      <c r="A914" s="259" t="s">
        <v>258</v>
      </c>
      <c r="B914" s="271">
        <v>811</v>
      </c>
      <c r="C914" s="252" t="s">
        <v>194</v>
      </c>
      <c r="D914" s="252" t="s">
        <v>212</v>
      </c>
      <c r="E914" s="252" t="s">
        <v>259</v>
      </c>
      <c r="F914" s="252"/>
      <c r="G914" s="257" t="e">
        <v>#REF!</v>
      </c>
      <c r="H914" s="257" t="e">
        <v>#REF!</v>
      </c>
      <c r="I914" s="257" t="e">
        <v>#REF!</v>
      </c>
      <c r="J914" s="257" t="e">
        <f t="shared" si="759"/>
        <v>#REF!</v>
      </c>
      <c r="K914" s="257" t="e">
        <f t="shared" si="759"/>
        <v>#REF!</v>
      </c>
      <c r="L914" s="257" t="e">
        <f t="shared" si="759"/>
        <v>#REF!</v>
      </c>
      <c r="M914" s="257" t="e">
        <f t="shared" si="760"/>
        <v>#REF!</v>
      </c>
      <c r="N914" s="257" t="e">
        <f t="shared" si="761"/>
        <v>#REF!</v>
      </c>
      <c r="O914" s="257" t="e">
        <f t="shared" si="762"/>
        <v>#REF!</v>
      </c>
    </row>
    <row r="915" spans="1:15" ht="25.5" hidden="1" customHeight="1" x14ac:dyDescent="0.2">
      <c r="A915" s="259" t="s">
        <v>239</v>
      </c>
      <c r="B915" s="271">
        <v>811</v>
      </c>
      <c r="C915" s="252" t="s">
        <v>194</v>
      </c>
      <c r="D915" s="252" t="s">
        <v>212</v>
      </c>
      <c r="E915" s="252" t="s">
        <v>259</v>
      </c>
      <c r="F915" s="252" t="s">
        <v>240</v>
      </c>
      <c r="G915" s="257" t="e">
        <v>#REF!</v>
      </c>
      <c r="H915" s="257" t="e">
        <v>#REF!</v>
      </c>
      <c r="I915" s="257" t="e">
        <v>#REF!</v>
      </c>
      <c r="J915" s="257" t="e">
        <f t="shared" si="759"/>
        <v>#REF!</v>
      </c>
      <c r="K915" s="257" t="e">
        <f t="shared" si="759"/>
        <v>#REF!</v>
      </c>
      <c r="L915" s="257" t="e">
        <f t="shared" si="759"/>
        <v>#REF!</v>
      </c>
      <c r="M915" s="257" t="e">
        <f t="shared" si="760"/>
        <v>#REF!</v>
      </c>
      <c r="N915" s="257" t="e">
        <f t="shared" si="761"/>
        <v>#REF!</v>
      </c>
      <c r="O915" s="257" t="e">
        <f t="shared" si="762"/>
        <v>#REF!</v>
      </c>
    </row>
    <row r="916" spans="1:15" ht="38.25" hidden="1" customHeight="1" x14ac:dyDescent="0.2">
      <c r="A916" s="259" t="s">
        <v>42</v>
      </c>
      <c r="B916" s="271">
        <v>811</v>
      </c>
      <c r="C916" s="252" t="s">
        <v>194</v>
      </c>
      <c r="D916" s="252" t="s">
        <v>212</v>
      </c>
      <c r="E916" s="252" t="s">
        <v>43</v>
      </c>
      <c r="F916" s="252"/>
      <c r="G916" s="257" t="e">
        <v>#REF!</v>
      </c>
      <c r="H916" s="257" t="e">
        <v>#REF!</v>
      </c>
      <c r="I916" s="257" t="e">
        <v>#REF!</v>
      </c>
      <c r="J916" s="257" t="e">
        <f t="shared" si="759"/>
        <v>#REF!</v>
      </c>
      <c r="K916" s="257" t="e">
        <f t="shared" si="759"/>
        <v>#REF!</v>
      </c>
      <c r="L916" s="257" t="e">
        <f t="shared" si="759"/>
        <v>#REF!</v>
      </c>
      <c r="M916" s="257" t="e">
        <f t="shared" si="760"/>
        <v>#REF!</v>
      </c>
      <c r="N916" s="257" t="e">
        <f t="shared" si="761"/>
        <v>#REF!</v>
      </c>
      <c r="O916" s="257" t="e">
        <f t="shared" si="762"/>
        <v>#REF!</v>
      </c>
    </row>
    <row r="917" spans="1:15" ht="25.5" hidden="1" customHeight="1" x14ac:dyDescent="0.2">
      <c r="A917" s="259" t="s">
        <v>239</v>
      </c>
      <c r="B917" s="271">
        <v>811</v>
      </c>
      <c r="C917" s="252" t="s">
        <v>194</v>
      </c>
      <c r="D917" s="252" t="s">
        <v>212</v>
      </c>
      <c r="E917" s="252" t="s">
        <v>43</v>
      </c>
      <c r="F917" s="252" t="s">
        <v>240</v>
      </c>
      <c r="G917" s="257" t="e">
        <v>#REF!</v>
      </c>
      <c r="H917" s="257" t="e">
        <v>#REF!</v>
      </c>
      <c r="I917" s="257" t="e">
        <v>#REF!</v>
      </c>
      <c r="J917" s="257" t="e">
        <f t="shared" si="759"/>
        <v>#REF!</v>
      </c>
      <c r="K917" s="257" t="e">
        <f t="shared" si="759"/>
        <v>#REF!</v>
      </c>
      <c r="L917" s="257" t="e">
        <f t="shared" si="759"/>
        <v>#REF!</v>
      </c>
      <c r="M917" s="257" t="e">
        <f t="shared" si="760"/>
        <v>#REF!</v>
      </c>
      <c r="N917" s="257" t="e">
        <f t="shared" si="761"/>
        <v>#REF!</v>
      </c>
      <c r="O917" s="257" t="e">
        <f t="shared" si="762"/>
        <v>#REF!</v>
      </c>
    </row>
    <row r="918" spans="1:15" ht="12.75" hidden="1" customHeight="1" x14ac:dyDescent="0.2">
      <c r="A918" s="462" t="s">
        <v>213</v>
      </c>
      <c r="B918" s="249">
        <v>811</v>
      </c>
      <c r="C918" s="250" t="s">
        <v>194</v>
      </c>
      <c r="D918" s="250">
        <v>10</v>
      </c>
      <c r="E918" s="250"/>
      <c r="F918" s="250"/>
      <c r="G918" s="257" t="e">
        <v>#REF!</v>
      </c>
      <c r="H918" s="257" t="e">
        <v>#REF!</v>
      </c>
      <c r="I918" s="257" t="e">
        <v>#REF!</v>
      </c>
      <c r="J918" s="257" t="e">
        <f t="shared" si="759"/>
        <v>#REF!</v>
      </c>
      <c r="K918" s="257" t="e">
        <f t="shared" si="759"/>
        <v>#REF!</v>
      </c>
      <c r="L918" s="257" t="e">
        <f t="shared" si="759"/>
        <v>#REF!</v>
      </c>
      <c r="M918" s="257" t="e">
        <f t="shared" si="760"/>
        <v>#REF!</v>
      </c>
      <c r="N918" s="257" t="e">
        <f t="shared" si="761"/>
        <v>#REF!</v>
      </c>
      <c r="O918" s="257" t="e">
        <f t="shared" si="762"/>
        <v>#REF!</v>
      </c>
    </row>
    <row r="919" spans="1:15" ht="12.75" hidden="1" customHeight="1" x14ac:dyDescent="0.2">
      <c r="A919" s="259" t="s">
        <v>237</v>
      </c>
      <c r="B919" s="271">
        <v>811</v>
      </c>
      <c r="C919" s="252" t="s">
        <v>194</v>
      </c>
      <c r="D919" s="252">
        <v>10</v>
      </c>
      <c r="E919" s="252" t="s">
        <v>238</v>
      </c>
      <c r="F919" s="252"/>
      <c r="G919" s="257" t="e">
        <v>#REF!</v>
      </c>
      <c r="H919" s="257" t="e">
        <v>#REF!</v>
      </c>
      <c r="I919" s="257" t="e">
        <v>#REF!</v>
      </c>
      <c r="J919" s="257" t="e">
        <f t="shared" si="759"/>
        <v>#REF!</v>
      </c>
      <c r="K919" s="257" t="e">
        <f t="shared" si="759"/>
        <v>#REF!</v>
      </c>
      <c r="L919" s="257" t="e">
        <f t="shared" si="759"/>
        <v>#REF!</v>
      </c>
      <c r="M919" s="257" t="e">
        <f t="shared" si="760"/>
        <v>#REF!</v>
      </c>
      <c r="N919" s="257" t="e">
        <f t="shared" si="761"/>
        <v>#REF!</v>
      </c>
      <c r="O919" s="257" t="e">
        <f t="shared" si="762"/>
        <v>#REF!</v>
      </c>
    </row>
    <row r="920" spans="1:15" ht="25.5" hidden="1" customHeight="1" x14ac:dyDescent="0.2">
      <c r="A920" s="259" t="s">
        <v>44</v>
      </c>
      <c r="B920" s="271">
        <v>811</v>
      </c>
      <c r="C920" s="252" t="s">
        <v>194</v>
      </c>
      <c r="D920" s="252">
        <v>10</v>
      </c>
      <c r="E920" s="252" t="s">
        <v>241</v>
      </c>
      <c r="F920" s="252"/>
      <c r="G920" s="257" t="e">
        <v>#REF!</v>
      </c>
      <c r="H920" s="257" t="e">
        <v>#REF!</v>
      </c>
      <c r="I920" s="257" t="e">
        <v>#REF!</v>
      </c>
      <c r="J920" s="257" t="e">
        <f t="shared" si="759"/>
        <v>#REF!</v>
      </c>
      <c r="K920" s="257" t="e">
        <f t="shared" si="759"/>
        <v>#REF!</v>
      </c>
      <c r="L920" s="257" t="e">
        <f t="shared" si="759"/>
        <v>#REF!</v>
      </c>
      <c r="M920" s="257" t="e">
        <f t="shared" si="760"/>
        <v>#REF!</v>
      </c>
      <c r="N920" s="257" t="e">
        <f t="shared" si="761"/>
        <v>#REF!</v>
      </c>
      <c r="O920" s="257" t="e">
        <f t="shared" si="762"/>
        <v>#REF!</v>
      </c>
    </row>
    <row r="921" spans="1:15" ht="25.5" hidden="1" customHeight="1" x14ac:dyDescent="0.2">
      <c r="A921" s="259" t="s">
        <v>239</v>
      </c>
      <c r="B921" s="271">
        <v>811</v>
      </c>
      <c r="C921" s="252" t="s">
        <v>194</v>
      </c>
      <c r="D921" s="252">
        <v>10</v>
      </c>
      <c r="E921" s="252" t="s">
        <v>241</v>
      </c>
      <c r="F921" s="252" t="s">
        <v>240</v>
      </c>
      <c r="G921" s="257" t="e">
        <v>#REF!</v>
      </c>
      <c r="H921" s="257" t="e">
        <v>#REF!</v>
      </c>
      <c r="I921" s="257" t="e">
        <v>#REF!</v>
      </c>
      <c r="J921" s="257" t="e">
        <f t="shared" si="759"/>
        <v>#REF!</v>
      </c>
      <c r="K921" s="257" t="e">
        <f t="shared" si="759"/>
        <v>#REF!</v>
      </c>
      <c r="L921" s="257" t="e">
        <f t="shared" si="759"/>
        <v>#REF!</v>
      </c>
      <c r="M921" s="257" t="e">
        <f t="shared" si="760"/>
        <v>#REF!</v>
      </c>
      <c r="N921" s="257" t="e">
        <f t="shared" si="761"/>
        <v>#REF!</v>
      </c>
      <c r="O921" s="257" t="e">
        <f t="shared" si="762"/>
        <v>#REF!</v>
      </c>
    </row>
    <row r="922" spans="1:15" ht="12.75" hidden="1" customHeight="1" x14ac:dyDescent="0.2">
      <c r="A922" s="259" t="s">
        <v>244</v>
      </c>
      <c r="B922" s="271">
        <v>811</v>
      </c>
      <c r="C922" s="252" t="s">
        <v>194</v>
      </c>
      <c r="D922" s="252">
        <v>10</v>
      </c>
      <c r="E922" s="252" t="s">
        <v>245</v>
      </c>
      <c r="F922" s="252"/>
      <c r="G922" s="257" t="e">
        <v>#REF!</v>
      </c>
      <c r="H922" s="257" t="e">
        <v>#REF!</v>
      </c>
      <c r="I922" s="257" t="e">
        <v>#REF!</v>
      </c>
      <c r="J922" s="257" t="e">
        <f t="shared" si="759"/>
        <v>#REF!</v>
      </c>
      <c r="K922" s="257" t="e">
        <f t="shared" si="759"/>
        <v>#REF!</v>
      </c>
      <c r="L922" s="257" t="e">
        <f t="shared" si="759"/>
        <v>#REF!</v>
      </c>
      <c r="M922" s="257" t="e">
        <f t="shared" si="760"/>
        <v>#REF!</v>
      </c>
      <c r="N922" s="257" t="e">
        <f t="shared" si="761"/>
        <v>#REF!</v>
      </c>
      <c r="O922" s="257" t="e">
        <f t="shared" si="762"/>
        <v>#REF!</v>
      </c>
    </row>
    <row r="923" spans="1:15" ht="25.5" hidden="1" customHeight="1" x14ac:dyDescent="0.2">
      <c r="A923" s="259" t="s">
        <v>246</v>
      </c>
      <c r="B923" s="271">
        <v>811</v>
      </c>
      <c r="C923" s="252" t="s">
        <v>194</v>
      </c>
      <c r="D923" s="252">
        <v>10</v>
      </c>
      <c r="E923" s="252" t="s">
        <v>247</v>
      </c>
      <c r="F923" s="252"/>
      <c r="G923" s="257" t="e">
        <v>#REF!</v>
      </c>
      <c r="H923" s="257" t="e">
        <v>#REF!</v>
      </c>
      <c r="I923" s="257" t="e">
        <v>#REF!</v>
      </c>
      <c r="J923" s="257" t="e">
        <f t="shared" si="759"/>
        <v>#REF!</v>
      </c>
      <c r="K923" s="257" t="e">
        <f t="shared" si="759"/>
        <v>#REF!</v>
      </c>
      <c r="L923" s="257" t="e">
        <f t="shared" si="759"/>
        <v>#REF!</v>
      </c>
      <c r="M923" s="257" t="e">
        <f t="shared" si="760"/>
        <v>#REF!</v>
      </c>
      <c r="N923" s="257" t="e">
        <f t="shared" si="761"/>
        <v>#REF!</v>
      </c>
      <c r="O923" s="257" t="e">
        <f t="shared" si="762"/>
        <v>#REF!</v>
      </c>
    </row>
    <row r="924" spans="1:15" ht="25.5" hidden="1" customHeight="1" x14ac:dyDescent="0.2">
      <c r="A924" s="259" t="s">
        <v>239</v>
      </c>
      <c r="B924" s="271">
        <v>811</v>
      </c>
      <c r="C924" s="252" t="s">
        <v>194</v>
      </c>
      <c r="D924" s="252">
        <v>10</v>
      </c>
      <c r="E924" s="252" t="s">
        <v>247</v>
      </c>
      <c r="F924" s="252" t="s">
        <v>240</v>
      </c>
      <c r="G924" s="257" t="e">
        <v>#REF!</v>
      </c>
      <c r="H924" s="257" t="e">
        <v>#REF!</v>
      </c>
      <c r="I924" s="257" t="e">
        <v>#REF!</v>
      </c>
      <c r="J924" s="257" t="e">
        <f t="shared" si="759"/>
        <v>#REF!</v>
      </c>
      <c r="K924" s="257" t="e">
        <f t="shared" si="759"/>
        <v>#REF!</v>
      </c>
      <c r="L924" s="257" t="e">
        <f t="shared" si="759"/>
        <v>#REF!</v>
      </c>
      <c r="M924" s="257" t="e">
        <f t="shared" si="760"/>
        <v>#REF!</v>
      </c>
      <c r="N924" s="257" t="e">
        <f t="shared" si="761"/>
        <v>#REF!</v>
      </c>
      <c r="O924" s="257" t="e">
        <f t="shared" si="762"/>
        <v>#REF!</v>
      </c>
    </row>
    <row r="925" spans="1:15" ht="25.5" hidden="1" customHeight="1" x14ac:dyDescent="0.2">
      <c r="A925" s="259" t="s">
        <v>45</v>
      </c>
      <c r="B925" s="271">
        <v>811</v>
      </c>
      <c r="C925" s="252" t="s">
        <v>194</v>
      </c>
      <c r="D925" s="252">
        <v>10</v>
      </c>
      <c r="E925" s="252" t="s">
        <v>46</v>
      </c>
      <c r="F925" s="252"/>
      <c r="G925" s="257" t="e">
        <v>#REF!</v>
      </c>
      <c r="H925" s="257" t="e">
        <v>#REF!</v>
      </c>
      <c r="I925" s="257" t="e">
        <v>#REF!</v>
      </c>
      <c r="J925" s="257" t="e">
        <f t="shared" si="759"/>
        <v>#REF!</v>
      </c>
      <c r="K925" s="257" t="e">
        <f t="shared" si="759"/>
        <v>#REF!</v>
      </c>
      <c r="L925" s="257" t="e">
        <f t="shared" si="759"/>
        <v>#REF!</v>
      </c>
      <c r="M925" s="257" t="e">
        <f t="shared" si="760"/>
        <v>#REF!</v>
      </c>
      <c r="N925" s="257" t="e">
        <f t="shared" si="761"/>
        <v>#REF!</v>
      </c>
      <c r="O925" s="257" t="e">
        <f t="shared" si="762"/>
        <v>#REF!</v>
      </c>
    </row>
    <row r="926" spans="1:15" ht="12.75" hidden="1" customHeight="1" x14ac:dyDescent="0.2">
      <c r="A926" s="259" t="s">
        <v>299</v>
      </c>
      <c r="B926" s="271">
        <v>811</v>
      </c>
      <c r="C926" s="252" t="s">
        <v>194</v>
      </c>
      <c r="D926" s="252">
        <v>10</v>
      </c>
      <c r="E926" s="252" t="s">
        <v>47</v>
      </c>
      <c r="F926" s="252"/>
      <c r="G926" s="257" t="e">
        <v>#REF!</v>
      </c>
      <c r="H926" s="257" t="e">
        <v>#REF!</v>
      </c>
      <c r="I926" s="257" t="e">
        <v>#REF!</v>
      </c>
      <c r="J926" s="257" t="e">
        <f t="shared" si="759"/>
        <v>#REF!</v>
      </c>
      <c r="K926" s="257" t="e">
        <f t="shared" si="759"/>
        <v>#REF!</v>
      </c>
      <c r="L926" s="257" t="e">
        <f t="shared" si="759"/>
        <v>#REF!</v>
      </c>
      <c r="M926" s="257" t="e">
        <f t="shared" si="760"/>
        <v>#REF!</v>
      </c>
      <c r="N926" s="257" t="e">
        <f t="shared" si="761"/>
        <v>#REF!</v>
      </c>
      <c r="O926" s="257" t="e">
        <f t="shared" si="762"/>
        <v>#REF!</v>
      </c>
    </row>
    <row r="927" spans="1:15" ht="12.75" hidden="1" customHeight="1" x14ac:dyDescent="0.2">
      <c r="A927" s="259" t="s">
        <v>300</v>
      </c>
      <c r="B927" s="271">
        <v>811</v>
      </c>
      <c r="C927" s="252" t="s">
        <v>194</v>
      </c>
      <c r="D927" s="252">
        <v>10</v>
      </c>
      <c r="E927" s="252" t="s">
        <v>47</v>
      </c>
      <c r="F927" s="252" t="s">
        <v>301</v>
      </c>
      <c r="G927" s="257" t="e">
        <v>#REF!</v>
      </c>
      <c r="H927" s="257" t="e">
        <v>#REF!</v>
      </c>
      <c r="I927" s="257" t="e">
        <v>#REF!</v>
      </c>
      <c r="J927" s="257" t="e">
        <f t="shared" si="759"/>
        <v>#REF!</v>
      </c>
      <c r="K927" s="257" t="e">
        <f t="shared" si="759"/>
        <v>#REF!</v>
      </c>
      <c r="L927" s="257" t="e">
        <f t="shared" si="759"/>
        <v>#REF!</v>
      </c>
      <c r="M927" s="257" t="e">
        <f t="shared" si="760"/>
        <v>#REF!</v>
      </c>
      <c r="N927" s="257" t="e">
        <f t="shared" si="761"/>
        <v>#REF!</v>
      </c>
      <c r="O927" s="257" t="e">
        <f t="shared" si="762"/>
        <v>#REF!</v>
      </c>
    </row>
    <row r="928" spans="1:15" ht="12.75" hidden="1" customHeight="1" x14ac:dyDescent="0.2">
      <c r="A928" s="259" t="s">
        <v>324</v>
      </c>
      <c r="B928" s="271">
        <v>811</v>
      </c>
      <c r="C928" s="252" t="s">
        <v>194</v>
      </c>
      <c r="D928" s="252">
        <v>10</v>
      </c>
      <c r="E928" s="252" t="s">
        <v>325</v>
      </c>
      <c r="F928" s="252"/>
      <c r="G928" s="257" t="e">
        <v>#REF!</v>
      </c>
      <c r="H928" s="257" t="e">
        <v>#REF!</v>
      </c>
      <c r="I928" s="257" t="e">
        <v>#REF!</v>
      </c>
      <c r="J928" s="257" t="e">
        <f t="shared" si="759"/>
        <v>#REF!</v>
      </c>
      <c r="K928" s="257" t="e">
        <f t="shared" si="759"/>
        <v>#REF!</v>
      </c>
      <c r="L928" s="257" t="e">
        <f t="shared" si="759"/>
        <v>#REF!</v>
      </c>
      <c r="M928" s="257" t="e">
        <f t="shared" si="760"/>
        <v>#REF!</v>
      </c>
      <c r="N928" s="257" t="e">
        <f t="shared" si="761"/>
        <v>#REF!</v>
      </c>
      <c r="O928" s="257" t="e">
        <f t="shared" si="762"/>
        <v>#REF!</v>
      </c>
    </row>
    <row r="929" spans="1:15" ht="25.5" hidden="1" customHeight="1" x14ac:dyDescent="0.2">
      <c r="A929" s="462" t="s">
        <v>48</v>
      </c>
      <c r="B929" s="249">
        <v>811</v>
      </c>
      <c r="C929" s="250" t="s">
        <v>194</v>
      </c>
      <c r="D929" s="250" t="s">
        <v>208</v>
      </c>
      <c r="E929" s="252"/>
      <c r="F929" s="252"/>
      <c r="G929" s="257" t="e">
        <v>#REF!</v>
      </c>
      <c r="H929" s="257" t="e">
        <v>#REF!</v>
      </c>
      <c r="I929" s="257" t="e">
        <v>#REF!</v>
      </c>
      <c r="J929" s="257" t="e">
        <f t="shared" si="759"/>
        <v>#REF!</v>
      </c>
      <c r="K929" s="257" t="e">
        <f t="shared" si="759"/>
        <v>#REF!</v>
      </c>
      <c r="L929" s="257" t="e">
        <f t="shared" si="759"/>
        <v>#REF!</v>
      </c>
      <c r="M929" s="257" t="e">
        <f t="shared" si="760"/>
        <v>#REF!</v>
      </c>
      <c r="N929" s="257" t="e">
        <f t="shared" si="761"/>
        <v>#REF!</v>
      </c>
      <c r="O929" s="257" t="e">
        <f t="shared" si="762"/>
        <v>#REF!</v>
      </c>
    </row>
    <row r="930" spans="1:15" ht="25.5" hidden="1" customHeight="1" x14ac:dyDescent="0.2">
      <c r="A930" s="259" t="s">
        <v>45</v>
      </c>
      <c r="B930" s="271">
        <v>811</v>
      </c>
      <c r="C930" s="252" t="s">
        <v>194</v>
      </c>
      <c r="D930" s="252" t="s">
        <v>208</v>
      </c>
      <c r="E930" s="252" t="s">
        <v>46</v>
      </c>
      <c r="F930" s="252"/>
      <c r="G930" s="257" t="e">
        <v>#REF!</v>
      </c>
      <c r="H930" s="257" t="e">
        <v>#REF!</v>
      </c>
      <c r="I930" s="257" t="e">
        <v>#REF!</v>
      </c>
      <c r="J930" s="257" t="e">
        <f t="shared" si="759"/>
        <v>#REF!</v>
      </c>
      <c r="K930" s="257" t="e">
        <f t="shared" si="759"/>
        <v>#REF!</v>
      </c>
      <c r="L930" s="257" t="e">
        <f t="shared" si="759"/>
        <v>#REF!</v>
      </c>
      <c r="M930" s="257" t="e">
        <f t="shared" si="760"/>
        <v>#REF!</v>
      </c>
      <c r="N930" s="257" t="e">
        <f t="shared" si="761"/>
        <v>#REF!</v>
      </c>
      <c r="O930" s="257" t="e">
        <f t="shared" si="762"/>
        <v>#REF!</v>
      </c>
    </row>
    <row r="931" spans="1:15" ht="12.75" hidden="1" customHeight="1" x14ac:dyDescent="0.2">
      <c r="A931" s="259" t="s">
        <v>299</v>
      </c>
      <c r="B931" s="271">
        <v>811</v>
      </c>
      <c r="C931" s="252" t="s">
        <v>194</v>
      </c>
      <c r="D931" s="252" t="s">
        <v>208</v>
      </c>
      <c r="E931" s="252" t="s">
        <v>47</v>
      </c>
      <c r="F931" s="252"/>
      <c r="G931" s="257" t="e">
        <v>#REF!</v>
      </c>
      <c r="H931" s="257" t="e">
        <v>#REF!</v>
      </c>
      <c r="I931" s="257" t="e">
        <v>#REF!</v>
      </c>
      <c r="J931" s="257" t="e">
        <f t="shared" si="759"/>
        <v>#REF!</v>
      </c>
      <c r="K931" s="257" t="e">
        <f t="shared" si="759"/>
        <v>#REF!</v>
      </c>
      <c r="L931" s="257" t="e">
        <f t="shared" si="759"/>
        <v>#REF!</v>
      </c>
      <c r="M931" s="257" t="e">
        <f t="shared" si="760"/>
        <v>#REF!</v>
      </c>
      <c r="N931" s="257" t="e">
        <f t="shared" si="761"/>
        <v>#REF!</v>
      </c>
      <c r="O931" s="257" t="e">
        <f t="shared" si="762"/>
        <v>#REF!</v>
      </c>
    </row>
    <row r="932" spans="1:15" ht="12.75" hidden="1" customHeight="1" x14ac:dyDescent="0.2">
      <c r="A932" s="259" t="s">
        <v>300</v>
      </c>
      <c r="B932" s="271">
        <v>811</v>
      </c>
      <c r="C932" s="252" t="s">
        <v>194</v>
      </c>
      <c r="D932" s="252" t="s">
        <v>208</v>
      </c>
      <c r="E932" s="252" t="s">
        <v>47</v>
      </c>
      <c r="F932" s="252" t="s">
        <v>301</v>
      </c>
      <c r="G932" s="257" t="e">
        <v>#REF!</v>
      </c>
      <c r="H932" s="257" t="e">
        <v>#REF!</v>
      </c>
      <c r="I932" s="257" t="e">
        <v>#REF!</v>
      </c>
      <c r="J932" s="257" t="e">
        <f t="shared" si="759"/>
        <v>#REF!</v>
      </c>
      <c r="K932" s="257" t="e">
        <f t="shared" si="759"/>
        <v>#REF!</v>
      </c>
      <c r="L932" s="257" t="e">
        <f t="shared" si="759"/>
        <v>#REF!</v>
      </c>
      <c r="M932" s="257" t="e">
        <f t="shared" si="760"/>
        <v>#REF!</v>
      </c>
      <c r="N932" s="257" t="e">
        <f t="shared" si="761"/>
        <v>#REF!</v>
      </c>
      <c r="O932" s="257" t="e">
        <f t="shared" si="762"/>
        <v>#REF!</v>
      </c>
    </row>
    <row r="933" spans="1:15" ht="12.75" hidden="1" customHeight="1" x14ac:dyDescent="0.2">
      <c r="A933" s="259" t="s">
        <v>302</v>
      </c>
      <c r="B933" s="271">
        <v>811</v>
      </c>
      <c r="C933" s="252" t="s">
        <v>194</v>
      </c>
      <c r="D933" s="252" t="s">
        <v>208</v>
      </c>
      <c r="E933" s="252" t="s">
        <v>47</v>
      </c>
      <c r="F933" s="252" t="s">
        <v>303</v>
      </c>
      <c r="G933" s="257" t="e">
        <v>#REF!</v>
      </c>
      <c r="H933" s="257" t="e">
        <v>#REF!</v>
      </c>
      <c r="I933" s="257" t="e">
        <v>#REF!</v>
      </c>
      <c r="J933" s="257" t="e">
        <f t="shared" si="759"/>
        <v>#REF!</v>
      </c>
      <c r="K933" s="257" t="e">
        <f t="shared" si="759"/>
        <v>#REF!</v>
      </c>
      <c r="L933" s="257" t="e">
        <f t="shared" si="759"/>
        <v>#REF!</v>
      </c>
      <c r="M933" s="257" t="e">
        <f t="shared" si="760"/>
        <v>#REF!</v>
      </c>
      <c r="N933" s="257" t="e">
        <f t="shared" si="761"/>
        <v>#REF!</v>
      </c>
      <c r="O933" s="257" t="e">
        <f t="shared" si="762"/>
        <v>#REF!</v>
      </c>
    </row>
    <row r="934" spans="1:15" ht="25.5" hidden="1" customHeight="1" x14ac:dyDescent="0.2">
      <c r="A934" s="462" t="s">
        <v>229</v>
      </c>
      <c r="B934" s="249">
        <v>811</v>
      </c>
      <c r="C934" s="250" t="s">
        <v>202</v>
      </c>
      <c r="D934" s="250" t="s">
        <v>198</v>
      </c>
      <c r="E934" s="250"/>
      <c r="F934" s="250"/>
      <c r="G934" s="257" t="e">
        <v>#REF!</v>
      </c>
      <c r="H934" s="257" t="e">
        <v>#REF!</v>
      </c>
      <c r="I934" s="257" t="e">
        <v>#REF!</v>
      </c>
      <c r="J934" s="257" t="e">
        <f t="shared" si="759"/>
        <v>#REF!</v>
      </c>
      <c r="K934" s="257" t="e">
        <f t="shared" si="759"/>
        <v>#REF!</v>
      </c>
      <c r="L934" s="257" t="e">
        <f t="shared" si="759"/>
        <v>#REF!</v>
      </c>
      <c r="M934" s="257" t="e">
        <f t="shared" si="760"/>
        <v>#REF!</v>
      </c>
      <c r="N934" s="257" t="e">
        <f t="shared" si="761"/>
        <v>#REF!</v>
      </c>
      <c r="O934" s="257" t="e">
        <f t="shared" si="762"/>
        <v>#REF!</v>
      </c>
    </row>
    <row r="935" spans="1:15" ht="12.75" hidden="1" customHeight="1" x14ac:dyDescent="0.2">
      <c r="A935" s="259" t="s">
        <v>358</v>
      </c>
      <c r="B935" s="271">
        <v>811</v>
      </c>
      <c r="C935" s="252" t="s">
        <v>202</v>
      </c>
      <c r="D935" s="252" t="s">
        <v>198</v>
      </c>
      <c r="E935" s="252" t="s">
        <v>359</v>
      </c>
      <c r="F935" s="252"/>
      <c r="G935" s="257" t="e">
        <v>#REF!</v>
      </c>
      <c r="H935" s="257" t="e">
        <v>#REF!</v>
      </c>
      <c r="I935" s="257" t="e">
        <v>#REF!</v>
      </c>
      <c r="J935" s="257" t="e">
        <f t="shared" si="759"/>
        <v>#REF!</v>
      </c>
      <c r="K935" s="257" t="e">
        <f t="shared" si="759"/>
        <v>#REF!</v>
      </c>
      <c r="L935" s="257" t="e">
        <f t="shared" si="759"/>
        <v>#REF!</v>
      </c>
      <c r="M935" s="257" t="e">
        <f t="shared" si="760"/>
        <v>#REF!</v>
      </c>
      <c r="N935" s="257" t="e">
        <f t="shared" si="761"/>
        <v>#REF!</v>
      </c>
      <c r="O935" s="257" t="e">
        <f t="shared" si="762"/>
        <v>#REF!</v>
      </c>
    </row>
    <row r="936" spans="1:15" ht="12.75" hidden="1" customHeight="1" x14ac:dyDescent="0.2">
      <c r="A936" s="259" t="s">
        <v>360</v>
      </c>
      <c r="B936" s="271">
        <v>811</v>
      </c>
      <c r="C936" s="252" t="s">
        <v>202</v>
      </c>
      <c r="D936" s="252" t="s">
        <v>198</v>
      </c>
      <c r="E936" s="252" t="s">
        <v>361</v>
      </c>
      <c r="F936" s="252"/>
      <c r="G936" s="257" t="e">
        <v>#REF!</v>
      </c>
      <c r="H936" s="257" t="e">
        <v>#REF!</v>
      </c>
      <c r="I936" s="257" t="e">
        <v>#REF!</v>
      </c>
      <c r="J936" s="257" t="e">
        <f t="shared" si="759"/>
        <v>#REF!</v>
      </c>
      <c r="K936" s="257" t="e">
        <f t="shared" si="759"/>
        <v>#REF!</v>
      </c>
      <c r="L936" s="257" t="e">
        <f t="shared" si="759"/>
        <v>#REF!</v>
      </c>
      <c r="M936" s="257" t="e">
        <f t="shared" si="760"/>
        <v>#REF!</v>
      </c>
      <c r="N936" s="257" t="e">
        <f t="shared" si="761"/>
        <v>#REF!</v>
      </c>
      <c r="O936" s="257" t="e">
        <f t="shared" si="762"/>
        <v>#REF!</v>
      </c>
    </row>
    <row r="937" spans="1:15" ht="12.75" hidden="1" customHeight="1" x14ac:dyDescent="0.2">
      <c r="A937" s="259" t="s">
        <v>300</v>
      </c>
      <c r="B937" s="271">
        <v>811</v>
      </c>
      <c r="C937" s="252" t="s">
        <v>202</v>
      </c>
      <c r="D937" s="252" t="s">
        <v>198</v>
      </c>
      <c r="E937" s="252" t="s">
        <v>361</v>
      </c>
      <c r="F937" s="252" t="s">
        <v>301</v>
      </c>
      <c r="G937" s="257" t="e">
        <v>#REF!</v>
      </c>
      <c r="H937" s="257" t="e">
        <v>#REF!</v>
      </c>
      <c r="I937" s="257" t="e">
        <v>#REF!</v>
      </c>
      <c r="J937" s="257" t="e">
        <f t="shared" si="759"/>
        <v>#REF!</v>
      </c>
      <c r="K937" s="257" t="e">
        <f t="shared" si="759"/>
        <v>#REF!</v>
      </c>
      <c r="L937" s="257" t="e">
        <f t="shared" si="759"/>
        <v>#REF!</v>
      </c>
      <c r="M937" s="257" t="e">
        <f t="shared" si="760"/>
        <v>#REF!</v>
      </c>
      <c r="N937" s="257" t="e">
        <f t="shared" si="761"/>
        <v>#REF!</v>
      </c>
      <c r="O937" s="257" t="e">
        <f t="shared" si="762"/>
        <v>#REF!</v>
      </c>
    </row>
    <row r="938" spans="1:15" ht="12.75" hidden="1" customHeight="1" x14ac:dyDescent="0.2">
      <c r="A938" s="525" t="s">
        <v>49</v>
      </c>
      <c r="B938" s="526"/>
      <c r="C938" s="526"/>
      <c r="D938" s="526"/>
      <c r="E938" s="526"/>
      <c r="F938" s="526"/>
      <c r="G938" s="257" t="e">
        <v>#REF!</v>
      </c>
      <c r="H938" s="257" t="e">
        <v>#REF!</v>
      </c>
      <c r="I938" s="257" t="e">
        <v>#REF!</v>
      </c>
      <c r="J938" s="257" t="e">
        <f t="shared" si="759"/>
        <v>#REF!</v>
      </c>
      <c r="K938" s="257" t="e">
        <f t="shared" si="759"/>
        <v>#REF!</v>
      </c>
      <c r="L938" s="257" t="e">
        <f t="shared" si="759"/>
        <v>#REF!</v>
      </c>
      <c r="M938" s="257" t="e">
        <f t="shared" ref="M938:M969" si="763">L938+L938</f>
        <v>#REF!</v>
      </c>
      <c r="N938" s="257" t="e">
        <f t="shared" ref="N938:N969" si="764">L938+M938</f>
        <v>#REF!</v>
      </c>
      <c r="O938" s="257" t="e">
        <f t="shared" si="762"/>
        <v>#REF!</v>
      </c>
    </row>
    <row r="939" spans="1:15" ht="12.75" hidden="1" customHeight="1" x14ac:dyDescent="0.2">
      <c r="A939" s="462" t="s">
        <v>306</v>
      </c>
      <c r="B939" s="250" t="s">
        <v>50</v>
      </c>
      <c r="C939" s="250" t="s">
        <v>196</v>
      </c>
      <c r="D939" s="250"/>
      <c r="E939" s="250"/>
      <c r="F939" s="250"/>
      <c r="G939" s="257" t="e">
        <v>#REF!</v>
      </c>
      <c r="H939" s="257" t="e">
        <v>#REF!</v>
      </c>
      <c r="I939" s="257" t="e">
        <v>#REF!</v>
      </c>
      <c r="J939" s="257" t="e">
        <f t="shared" si="759"/>
        <v>#REF!</v>
      </c>
      <c r="K939" s="257" t="e">
        <f t="shared" si="759"/>
        <v>#REF!</v>
      </c>
      <c r="L939" s="257" t="e">
        <f t="shared" si="759"/>
        <v>#REF!</v>
      </c>
      <c r="M939" s="257" t="e">
        <f t="shared" si="763"/>
        <v>#REF!</v>
      </c>
      <c r="N939" s="257" t="e">
        <f t="shared" si="764"/>
        <v>#REF!</v>
      </c>
      <c r="O939" s="257" t="e">
        <f t="shared" si="762"/>
        <v>#REF!</v>
      </c>
    </row>
    <row r="940" spans="1:15" ht="12.75" hidden="1" customHeight="1" x14ac:dyDescent="0.2">
      <c r="A940" s="462" t="s">
        <v>216</v>
      </c>
      <c r="B940" s="250" t="s">
        <v>50</v>
      </c>
      <c r="C940" s="250" t="s">
        <v>196</v>
      </c>
      <c r="D940" s="250" t="s">
        <v>190</v>
      </c>
      <c r="E940" s="250"/>
      <c r="F940" s="250"/>
      <c r="G940" s="257" t="e">
        <v>#REF!</v>
      </c>
      <c r="H940" s="257" t="e">
        <v>#REF!</v>
      </c>
      <c r="I940" s="257" t="e">
        <v>#REF!</v>
      </c>
      <c r="J940" s="257" t="e">
        <f t="shared" si="759"/>
        <v>#REF!</v>
      </c>
      <c r="K940" s="257" t="e">
        <f t="shared" si="759"/>
        <v>#REF!</v>
      </c>
      <c r="L940" s="257" t="e">
        <f t="shared" si="759"/>
        <v>#REF!</v>
      </c>
      <c r="M940" s="257" t="e">
        <f t="shared" si="763"/>
        <v>#REF!</v>
      </c>
      <c r="N940" s="257" t="e">
        <f t="shared" si="764"/>
        <v>#REF!</v>
      </c>
      <c r="O940" s="257" t="e">
        <f t="shared" si="762"/>
        <v>#REF!</v>
      </c>
    </row>
    <row r="941" spans="1:15" ht="38.25" hidden="1" customHeight="1" x14ac:dyDescent="0.2">
      <c r="A941" s="259" t="s">
        <v>123</v>
      </c>
      <c r="B941" s="252" t="s">
        <v>50</v>
      </c>
      <c r="C941" s="252" t="s">
        <v>196</v>
      </c>
      <c r="D941" s="252" t="s">
        <v>190</v>
      </c>
      <c r="E941" s="260" t="s">
        <v>332</v>
      </c>
      <c r="F941" s="250"/>
      <c r="G941" s="257" t="e">
        <v>#REF!</v>
      </c>
      <c r="H941" s="257" t="e">
        <v>#REF!</v>
      </c>
      <c r="I941" s="257" t="e">
        <v>#REF!</v>
      </c>
      <c r="J941" s="257" t="e">
        <f t="shared" si="759"/>
        <v>#REF!</v>
      </c>
      <c r="K941" s="257" t="e">
        <f t="shared" si="759"/>
        <v>#REF!</v>
      </c>
      <c r="L941" s="257" t="e">
        <f t="shared" si="759"/>
        <v>#REF!</v>
      </c>
      <c r="M941" s="257" t="e">
        <f t="shared" si="763"/>
        <v>#REF!</v>
      </c>
      <c r="N941" s="257" t="e">
        <f t="shared" si="764"/>
        <v>#REF!</v>
      </c>
      <c r="O941" s="257" t="e">
        <f t="shared" si="762"/>
        <v>#REF!</v>
      </c>
    </row>
    <row r="942" spans="1:15" ht="12.75" hidden="1" customHeight="1" x14ac:dyDescent="0.2">
      <c r="A942" s="259" t="s">
        <v>333</v>
      </c>
      <c r="B942" s="252" t="s">
        <v>50</v>
      </c>
      <c r="C942" s="252" t="s">
        <v>196</v>
      </c>
      <c r="D942" s="252" t="s">
        <v>190</v>
      </c>
      <c r="E942" s="260" t="s">
        <v>334</v>
      </c>
      <c r="F942" s="250"/>
      <c r="G942" s="257" t="e">
        <v>#REF!</v>
      </c>
      <c r="H942" s="257" t="e">
        <v>#REF!</v>
      </c>
      <c r="I942" s="257" t="e">
        <v>#REF!</v>
      </c>
      <c r="J942" s="257" t="e">
        <f t="shared" si="759"/>
        <v>#REF!</v>
      </c>
      <c r="K942" s="257" t="e">
        <f t="shared" si="759"/>
        <v>#REF!</v>
      </c>
      <c r="L942" s="257" t="e">
        <f t="shared" si="759"/>
        <v>#REF!</v>
      </c>
      <c r="M942" s="257" t="e">
        <f t="shared" si="763"/>
        <v>#REF!</v>
      </c>
      <c r="N942" s="257" t="e">
        <f t="shared" si="764"/>
        <v>#REF!</v>
      </c>
      <c r="O942" s="257" t="e">
        <f t="shared" si="762"/>
        <v>#REF!</v>
      </c>
    </row>
    <row r="943" spans="1:15" ht="12.75" hidden="1" customHeight="1" x14ac:dyDescent="0.2">
      <c r="A943" s="259" t="s">
        <v>320</v>
      </c>
      <c r="B943" s="252" t="s">
        <v>50</v>
      </c>
      <c r="C943" s="252" t="s">
        <v>196</v>
      </c>
      <c r="D943" s="252" t="s">
        <v>190</v>
      </c>
      <c r="E943" s="260" t="s">
        <v>334</v>
      </c>
      <c r="F943" s="252" t="s">
        <v>321</v>
      </c>
      <c r="G943" s="257" t="e">
        <v>#REF!</v>
      </c>
      <c r="H943" s="257" t="e">
        <v>#REF!</v>
      </c>
      <c r="I943" s="257" t="e">
        <v>#REF!</v>
      </c>
      <c r="J943" s="257" t="e">
        <f t="shared" si="759"/>
        <v>#REF!</v>
      </c>
      <c r="K943" s="257" t="e">
        <f t="shared" si="759"/>
        <v>#REF!</v>
      </c>
      <c r="L943" s="257" t="e">
        <f t="shared" si="759"/>
        <v>#REF!</v>
      </c>
      <c r="M943" s="257" t="e">
        <f t="shared" si="763"/>
        <v>#REF!</v>
      </c>
      <c r="N943" s="257" t="e">
        <f t="shared" si="764"/>
        <v>#REF!</v>
      </c>
      <c r="O943" s="257" t="e">
        <f t="shared" si="762"/>
        <v>#REF!</v>
      </c>
    </row>
    <row r="944" spans="1:15" ht="12.75" hidden="1" customHeight="1" x14ac:dyDescent="0.2">
      <c r="A944" s="259" t="s">
        <v>344</v>
      </c>
      <c r="B944" s="252" t="s">
        <v>50</v>
      </c>
      <c r="C944" s="252" t="s">
        <v>196</v>
      </c>
      <c r="D944" s="252" t="s">
        <v>190</v>
      </c>
      <c r="E944" s="252" t="s">
        <v>51</v>
      </c>
      <c r="F944" s="252"/>
      <c r="G944" s="257" t="e">
        <v>#REF!</v>
      </c>
      <c r="H944" s="257" t="e">
        <v>#REF!</v>
      </c>
      <c r="I944" s="257" t="e">
        <v>#REF!</v>
      </c>
      <c r="J944" s="257" t="e">
        <f t="shared" si="759"/>
        <v>#REF!</v>
      </c>
      <c r="K944" s="257" t="e">
        <f t="shared" si="759"/>
        <v>#REF!</v>
      </c>
      <c r="L944" s="257" t="e">
        <f t="shared" si="759"/>
        <v>#REF!</v>
      </c>
      <c r="M944" s="257" t="e">
        <f t="shared" si="763"/>
        <v>#REF!</v>
      </c>
      <c r="N944" s="257" t="e">
        <f t="shared" si="764"/>
        <v>#REF!</v>
      </c>
      <c r="O944" s="257" t="e">
        <f t="shared" si="762"/>
        <v>#REF!</v>
      </c>
    </row>
    <row r="945" spans="1:15" ht="38.25" hidden="1" customHeight="1" x14ac:dyDescent="0.2">
      <c r="A945" s="259" t="s">
        <v>52</v>
      </c>
      <c r="B945" s="252" t="s">
        <v>50</v>
      </c>
      <c r="C945" s="252" t="s">
        <v>196</v>
      </c>
      <c r="D945" s="252" t="s">
        <v>190</v>
      </c>
      <c r="E945" s="252" t="s">
        <v>53</v>
      </c>
      <c r="F945" s="252"/>
      <c r="G945" s="257" t="e">
        <v>#REF!</v>
      </c>
      <c r="H945" s="257" t="e">
        <v>#REF!</v>
      </c>
      <c r="I945" s="257" t="e">
        <v>#REF!</v>
      </c>
      <c r="J945" s="257" t="e">
        <f t="shared" si="759"/>
        <v>#REF!</v>
      </c>
      <c r="K945" s="257" t="e">
        <f t="shared" si="759"/>
        <v>#REF!</v>
      </c>
      <c r="L945" s="257" t="e">
        <f t="shared" si="759"/>
        <v>#REF!</v>
      </c>
      <c r="M945" s="257" t="e">
        <f t="shared" si="763"/>
        <v>#REF!</v>
      </c>
      <c r="N945" s="257" t="e">
        <f t="shared" si="764"/>
        <v>#REF!</v>
      </c>
      <c r="O945" s="257" t="e">
        <f t="shared" si="762"/>
        <v>#REF!</v>
      </c>
    </row>
    <row r="946" spans="1:15" ht="12.75" hidden="1" customHeight="1" x14ac:dyDescent="0.2">
      <c r="A946" s="259" t="s">
        <v>300</v>
      </c>
      <c r="B946" s="252" t="s">
        <v>50</v>
      </c>
      <c r="C946" s="252" t="s">
        <v>196</v>
      </c>
      <c r="D946" s="252" t="s">
        <v>190</v>
      </c>
      <c r="E946" s="252" t="s">
        <v>53</v>
      </c>
      <c r="F946" s="252" t="s">
        <v>301</v>
      </c>
      <c r="G946" s="257" t="e">
        <v>#REF!</v>
      </c>
      <c r="H946" s="257" t="e">
        <v>#REF!</v>
      </c>
      <c r="I946" s="257" t="e">
        <v>#REF!</v>
      </c>
      <c r="J946" s="257" t="e">
        <f t="shared" si="759"/>
        <v>#REF!</v>
      </c>
      <c r="K946" s="257" t="e">
        <f t="shared" si="759"/>
        <v>#REF!</v>
      </c>
      <c r="L946" s="257" t="e">
        <f t="shared" si="759"/>
        <v>#REF!</v>
      </c>
      <c r="M946" s="257" t="e">
        <f t="shared" si="763"/>
        <v>#REF!</v>
      </c>
      <c r="N946" s="257" t="e">
        <f t="shared" si="764"/>
        <v>#REF!</v>
      </c>
      <c r="O946" s="257" t="e">
        <f t="shared" si="762"/>
        <v>#REF!</v>
      </c>
    </row>
    <row r="947" spans="1:15" ht="12.75" hidden="1" customHeight="1" x14ac:dyDescent="0.2">
      <c r="A947" s="462" t="s">
        <v>65</v>
      </c>
      <c r="B947" s="250" t="s">
        <v>50</v>
      </c>
      <c r="C947" s="250" t="s">
        <v>214</v>
      </c>
      <c r="D947" s="250"/>
      <c r="E947" s="252"/>
      <c r="F947" s="252"/>
      <c r="G947" s="257" t="e">
        <v>#REF!</v>
      </c>
      <c r="H947" s="257" t="e">
        <v>#REF!</v>
      </c>
      <c r="I947" s="257" t="e">
        <v>#REF!</v>
      </c>
      <c r="J947" s="257" t="e">
        <f t="shared" si="759"/>
        <v>#REF!</v>
      </c>
      <c r="K947" s="257" t="e">
        <f t="shared" si="759"/>
        <v>#REF!</v>
      </c>
      <c r="L947" s="257" t="e">
        <f t="shared" si="759"/>
        <v>#REF!</v>
      </c>
      <c r="M947" s="257" t="e">
        <f t="shared" si="763"/>
        <v>#REF!</v>
      </c>
      <c r="N947" s="257" t="e">
        <f t="shared" si="764"/>
        <v>#REF!</v>
      </c>
      <c r="O947" s="257" t="e">
        <f t="shared" si="762"/>
        <v>#REF!</v>
      </c>
    </row>
    <row r="948" spans="1:15" ht="12.75" hidden="1" customHeight="1" x14ac:dyDescent="0.2">
      <c r="A948" s="462" t="s">
        <v>277</v>
      </c>
      <c r="B948" s="250" t="s">
        <v>50</v>
      </c>
      <c r="C948" s="250" t="s">
        <v>214</v>
      </c>
      <c r="D948" s="250" t="s">
        <v>194</v>
      </c>
      <c r="E948" s="252"/>
      <c r="F948" s="252"/>
      <c r="G948" s="257" t="e">
        <v>#REF!</v>
      </c>
      <c r="H948" s="257" t="e">
        <v>#REF!</v>
      </c>
      <c r="I948" s="257" t="e">
        <v>#REF!</v>
      </c>
      <c r="J948" s="257" t="e">
        <f t="shared" si="759"/>
        <v>#REF!</v>
      </c>
      <c r="K948" s="257" t="e">
        <f t="shared" si="759"/>
        <v>#REF!</v>
      </c>
      <c r="L948" s="257" t="e">
        <f t="shared" si="759"/>
        <v>#REF!</v>
      </c>
      <c r="M948" s="257" t="e">
        <f t="shared" si="763"/>
        <v>#REF!</v>
      </c>
      <c r="N948" s="257" t="e">
        <f t="shared" si="764"/>
        <v>#REF!</v>
      </c>
      <c r="O948" s="257" t="e">
        <f t="shared" si="762"/>
        <v>#REF!</v>
      </c>
    </row>
    <row r="949" spans="1:15" ht="12.75" hidden="1" customHeight="1" x14ac:dyDescent="0.2">
      <c r="A949" s="259" t="s">
        <v>344</v>
      </c>
      <c r="B949" s="252" t="s">
        <v>50</v>
      </c>
      <c r="C949" s="252" t="s">
        <v>214</v>
      </c>
      <c r="D949" s="252" t="s">
        <v>194</v>
      </c>
      <c r="E949" s="380" t="s">
        <v>51</v>
      </c>
      <c r="F949" s="252"/>
      <c r="G949" s="257" t="e">
        <v>#REF!</v>
      </c>
      <c r="H949" s="257" t="e">
        <v>#REF!</v>
      </c>
      <c r="I949" s="257" t="e">
        <v>#REF!</v>
      </c>
      <c r="J949" s="257" t="e">
        <f t="shared" si="759"/>
        <v>#REF!</v>
      </c>
      <c r="K949" s="257" t="e">
        <f t="shared" si="759"/>
        <v>#REF!</v>
      </c>
      <c r="L949" s="257" t="e">
        <f t="shared" si="759"/>
        <v>#REF!</v>
      </c>
      <c r="M949" s="257" t="e">
        <f t="shared" si="763"/>
        <v>#REF!</v>
      </c>
      <c r="N949" s="257" t="e">
        <f t="shared" si="764"/>
        <v>#REF!</v>
      </c>
      <c r="O949" s="257" t="e">
        <f t="shared" si="762"/>
        <v>#REF!</v>
      </c>
    </row>
    <row r="950" spans="1:15" ht="38.25" hidden="1" customHeight="1" x14ac:dyDescent="0.2">
      <c r="A950" s="259" t="s">
        <v>54</v>
      </c>
      <c r="B950" s="252" t="s">
        <v>50</v>
      </c>
      <c r="C950" s="252" t="s">
        <v>214</v>
      </c>
      <c r="D950" s="252" t="s">
        <v>194</v>
      </c>
      <c r="E950" s="252" t="s">
        <v>53</v>
      </c>
      <c r="F950" s="252"/>
      <c r="G950" s="257" t="e">
        <v>#REF!</v>
      </c>
      <c r="H950" s="257" t="e">
        <v>#REF!</v>
      </c>
      <c r="I950" s="257" t="e">
        <v>#REF!</v>
      </c>
      <c r="J950" s="257" t="e">
        <f t="shared" si="759"/>
        <v>#REF!</v>
      </c>
      <c r="K950" s="257" t="e">
        <f t="shared" si="759"/>
        <v>#REF!</v>
      </c>
      <c r="L950" s="257" t="e">
        <f t="shared" si="759"/>
        <v>#REF!</v>
      </c>
      <c r="M950" s="257" t="e">
        <f t="shared" si="763"/>
        <v>#REF!</v>
      </c>
      <c r="N950" s="257" t="e">
        <f t="shared" si="764"/>
        <v>#REF!</v>
      </c>
      <c r="O950" s="257" t="e">
        <f t="shared" si="762"/>
        <v>#REF!</v>
      </c>
    </row>
    <row r="951" spans="1:15" ht="12.75" hidden="1" customHeight="1" x14ac:dyDescent="0.2">
      <c r="A951" s="259" t="s">
        <v>68</v>
      </c>
      <c r="B951" s="252" t="s">
        <v>50</v>
      </c>
      <c r="C951" s="252" t="s">
        <v>214</v>
      </c>
      <c r="D951" s="252" t="s">
        <v>194</v>
      </c>
      <c r="E951" s="252" t="s">
        <v>53</v>
      </c>
      <c r="F951" s="252" t="s">
        <v>69</v>
      </c>
      <c r="G951" s="257" t="e">
        <v>#REF!</v>
      </c>
      <c r="H951" s="257" t="e">
        <v>#REF!</v>
      </c>
      <c r="I951" s="257" t="e">
        <v>#REF!</v>
      </c>
      <c r="J951" s="257" t="e">
        <f t="shared" si="759"/>
        <v>#REF!</v>
      </c>
      <c r="K951" s="257" t="e">
        <f t="shared" si="759"/>
        <v>#REF!</v>
      </c>
      <c r="L951" s="257" t="e">
        <f t="shared" si="759"/>
        <v>#REF!</v>
      </c>
      <c r="M951" s="257" t="e">
        <f t="shared" si="763"/>
        <v>#REF!</v>
      </c>
      <c r="N951" s="257" t="e">
        <f t="shared" si="764"/>
        <v>#REF!</v>
      </c>
      <c r="O951" s="257" t="e">
        <f t="shared" si="762"/>
        <v>#REF!</v>
      </c>
    </row>
    <row r="952" spans="1:15" ht="12.75" hidden="1" customHeight="1" x14ac:dyDescent="0.2">
      <c r="A952" s="525" t="s">
        <v>55</v>
      </c>
      <c r="B952" s="526"/>
      <c r="C952" s="526"/>
      <c r="D952" s="526"/>
      <c r="E952" s="526"/>
      <c r="F952" s="526"/>
      <c r="G952" s="257" t="e">
        <v>#REF!</v>
      </c>
      <c r="H952" s="257" t="e">
        <v>#REF!</v>
      </c>
      <c r="I952" s="257" t="e">
        <v>#REF!</v>
      </c>
      <c r="J952" s="257" t="e">
        <f t="shared" si="759"/>
        <v>#REF!</v>
      </c>
      <c r="K952" s="257" t="e">
        <f t="shared" si="759"/>
        <v>#REF!</v>
      </c>
      <c r="L952" s="257" t="e">
        <f t="shared" si="759"/>
        <v>#REF!</v>
      </c>
      <c r="M952" s="257" t="e">
        <f t="shared" si="763"/>
        <v>#REF!</v>
      </c>
      <c r="N952" s="257" t="e">
        <f t="shared" si="764"/>
        <v>#REF!</v>
      </c>
      <c r="O952" s="257" t="e">
        <f t="shared" si="762"/>
        <v>#REF!</v>
      </c>
    </row>
    <row r="953" spans="1:15" ht="12.75" hidden="1" customHeight="1" x14ac:dyDescent="0.2">
      <c r="A953" s="462" t="s">
        <v>306</v>
      </c>
      <c r="B953" s="249">
        <v>813</v>
      </c>
      <c r="C953" s="365" t="s">
        <v>196</v>
      </c>
      <c r="D953" s="365"/>
      <c r="E953" s="365"/>
      <c r="F953" s="365"/>
      <c r="G953" s="257" t="e">
        <v>#REF!</v>
      </c>
      <c r="H953" s="257" t="e">
        <v>#REF!</v>
      </c>
      <c r="I953" s="257" t="e">
        <v>#REF!</v>
      </c>
      <c r="J953" s="257" t="e">
        <f t="shared" si="759"/>
        <v>#REF!</v>
      </c>
      <c r="K953" s="257" t="e">
        <f t="shared" si="759"/>
        <v>#REF!</v>
      </c>
      <c r="L953" s="257" t="e">
        <f t="shared" si="759"/>
        <v>#REF!</v>
      </c>
      <c r="M953" s="257" t="e">
        <f t="shared" si="763"/>
        <v>#REF!</v>
      </c>
      <c r="N953" s="257" t="e">
        <f t="shared" si="764"/>
        <v>#REF!</v>
      </c>
      <c r="O953" s="257" t="e">
        <f t="shared" si="762"/>
        <v>#REF!</v>
      </c>
    </row>
    <row r="954" spans="1:15" ht="12.75" hidden="1" customHeight="1" x14ac:dyDescent="0.2">
      <c r="A954" s="462" t="s">
        <v>220</v>
      </c>
      <c r="B954" s="249">
        <v>813</v>
      </c>
      <c r="C954" s="365" t="s">
        <v>196</v>
      </c>
      <c r="D954" s="365" t="s">
        <v>205</v>
      </c>
      <c r="E954" s="365"/>
      <c r="F954" s="365"/>
      <c r="G954" s="257" t="e">
        <v>#REF!</v>
      </c>
      <c r="H954" s="257" t="e">
        <v>#REF!</v>
      </c>
      <c r="I954" s="257" t="e">
        <v>#REF!</v>
      </c>
      <c r="J954" s="257" t="e">
        <f t="shared" si="759"/>
        <v>#REF!</v>
      </c>
      <c r="K954" s="257" t="e">
        <f t="shared" si="759"/>
        <v>#REF!</v>
      </c>
      <c r="L954" s="257" t="e">
        <f t="shared" si="759"/>
        <v>#REF!</v>
      </c>
      <c r="M954" s="257" t="e">
        <f t="shared" si="763"/>
        <v>#REF!</v>
      </c>
      <c r="N954" s="257" t="e">
        <f t="shared" si="764"/>
        <v>#REF!</v>
      </c>
      <c r="O954" s="257" t="e">
        <f t="shared" si="762"/>
        <v>#REF!</v>
      </c>
    </row>
    <row r="955" spans="1:15" ht="38.25" hidden="1" customHeight="1" x14ac:dyDescent="0.2">
      <c r="A955" s="259" t="s">
        <v>331</v>
      </c>
      <c r="B955" s="271">
        <v>813</v>
      </c>
      <c r="C955" s="260" t="s">
        <v>196</v>
      </c>
      <c r="D955" s="260" t="s">
        <v>205</v>
      </c>
      <c r="E955" s="260" t="s">
        <v>332</v>
      </c>
      <c r="F955" s="252"/>
      <c r="G955" s="257" t="e">
        <v>#REF!</v>
      </c>
      <c r="H955" s="257" t="e">
        <v>#REF!</v>
      </c>
      <c r="I955" s="257" t="e">
        <v>#REF!</v>
      </c>
      <c r="J955" s="257" t="e">
        <f t="shared" si="759"/>
        <v>#REF!</v>
      </c>
      <c r="K955" s="257" t="e">
        <f t="shared" si="759"/>
        <v>#REF!</v>
      </c>
      <c r="L955" s="257" t="e">
        <f t="shared" si="759"/>
        <v>#REF!</v>
      </c>
      <c r="M955" s="257" t="e">
        <f t="shared" si="763"/>
        <v>#REF!</v>
      </c>
      <c r="N955" s="257" t="e">
        <f t="shared" si="764"/>
        <v>#REF!</v>
      </c>
      <c r="O955" s="257" t="e">
        <f t="shared" si="762"/>
        <v>#REF!</v>
      </c>
    </row>
    <row r="956" spans="1:15" ht="12.75" hidden="1" customHeight="1" x14ac:dyDescent="0.2">
      <c r="A956" s="259" t="s">
        <v>333</v>
      </c>
      <c r="B956" s="271">
        <v>813</v>
      </c>
      <c r="C956" s="260" t="s">
        <v>196</v>
      </c>
      <c r="D956" s="260" t="s">
        <v>205</v>
      </c>
      <c r="E956" s="260" t="s">
        <v>334</v>
      </c>
      <c r="F956" s="252"/>
      <c r="G956" s="257" t="e">
        <v>#REF!</v>
      </c>
      <c r="H956" s="257" t="e">
        <v>#REF!</v>
      </c>
      <c r="I956" s="257" t="e">
        <v>#REF!</v>
      </c>
      <c r="J956" s="257" t="e">
        <f t="shared" si="759"/>
        <v>#REF!</v>
      </c>
      <c r="K956" s="257" t="e">
        <f t="shared" si="759"/>
        <v>#REF!</v>
      </c>
      <c r="L956" s="257" t="e">
        <f t="shared" si="759"/>
        <v>#REF!</v>
      </c>
      <c r="M956" s="257" t="e">
        <f t="shared" si="763"/>
        <v>#REF!</v>
      </c>
      <c r="N956" s="257" t="e">
        <f t="shared" si="764"/>
        <v>#REF!</v>
      </c>
      <c r="O956" s="257" t="e">
        <f t="shared" si="762"/>
        <v>#REF!</v>
      </c>
    </row>
    <row r="957" spans="1:15" ht="12.75" hidden="1" customHeight="1" x14ac:dyDescent="0.2">
      <c r="A957" s="259" t="s">
        <v>320</v>
      </c>
      <c r="B957" s="271">
        <v>813</v>
      </c>
      <c r="C957" s="260" t="s">
        <v>196</v>
      </c>
      <c r="D957" s="260" t="s">
        <v>205</v>
      </c>
      <c r="E957" s="260" t="s">
        <v>334</v>
      </c>
      <c r="F957" s="252" t="s">
        <v>321</v>
      </c>
      <c r="G957" s="257" t="e">
        <v>#REF!</v>
      </c>
      <c r="H957" s="257" t="e">
        <v>#REF!</v>
      </c>
      <c r="I957" s="257" t="e">
        <v>#REF!</v>
      </c>
      <c r="J957" s="257" t="e">
        <f t="shared" si="759"/>
        <v>#REF!</v>
      </c>
      <c r="K957" s="257" t="e">
        <f t="shared" si="759"/>
        <v>#REF!</v>
      </c>
      <c r="L957" s="257" t="e">
        <f t="shared" si="759"/>
        <v>#REF!</v>
      </c>
      <c r="M957" s="257" t="e">
        <f t="shared" si="763"/>
        <v>#REF!</v>
      </c>
      <c r="N957" s="257" t="e">
        <f t="shared" si="764"/>
        <v>#REF!</v>
      </c>
      <c r="O957" s="257" t="e">
        <f t="shared" si="762"/>
        <v>#REF!</v>
      </c>
    </row>
    <row r="958" spans="1:15" ht="12.75" hidden="1" customHeight="1" x14ac:dyDescent="0.2">
      <c r="A958" s="259" t="s">
        <v>302</v>
      </c>
      <c r="B958" s="271">
        <v>813</v>
      </c>
      <c r="C958" s="260" t="s">
        <v>196</v>
      </c>
      <c r="D958" s="260" t="s">
        <v>205</v>
      </c>
      <c r="E958" s="260" t="s">
        <v>334</v>
      </c>
      <c r="F958" s="252" t="s">
        <v>303</v>
      </c>
      <c r="G958" s="257" t="e">
        <v>#REF!</v>
      </c>
      <c r="H958" s="257" t="e">
        <v>#REF!</v>
      </c>
      <c r="I958" s="257" t="e">
        <v>#REF!</v>
      </c>
      <c r="J958" s="257" t="e">
        <f t="shared" si="759"/>
        <v>#REF!</v>
      </c>
      <c r="K958" s="257" t="e">
        <f t="shared" si="759"/>
        <v>#REF!</v>
      </c>
      <c r="L958" s="257" t="e">
        <f t="shared" si="759"/>
        <v>#REF!</v>
      </c>
      <c r="M958" s="257" t="e">
        <f t="shared" si="763"/>
        <v>#REF!</v>
      </c>
      <c r="N958" s="257" t="e">
        <f t="shared" si="764"/>
        <v>#REF!</v>
      </c>
      <c r="O958" s="257" t="e">
        <f t="shared" si="762"/>
        <v>#REF!</v>
      </c>
    </row>
    <row r="959" spans="1:15" ht="12.75" hidden="1" customHeight="1" x14ac:dyDescent="0.2">
      <c r="A959" s="259" t="s">
        <v>324</v>
      </c>
      <c r="B959" s="271">
        <v>813</v>
      </c>
      <c r="C959" s="260" t="s">
        <v>196</v>
      </c>
      <c r="D959" s="260" t="s">
        <v>205</v>
      </c>
      <c r="E959" s="260" t="s">
        <v>325</v>
      </c>
      <c r="F959" s="260"/>
      <c r="G959" s="257" t="e">
        <v>#REF!</v>
      </c>
      <c r="H959" s="257" t="e">
        <v>#REF!</v>
      </c>
      <c r="I959" s="257" t="e">
        <v>#REF!</v>
      </c>
      <c r="J959" s="257" t="e">
        <f t="shared" si="759"/>
        <v>#REF!</v>
      </c>
      <c r="K959" s="257" t="e">
        <f t="shared" si="759"/>
        <v>#REF!</v>
      </c>
      <c r="L959" s="257" t="e">
        <f t="shared" si="759"/>
        <v>#REF!</v>
      </c>
      <c r="M959" s="257" t="e">
        <f t="shared" si="763"/>
        <v>#REF!</v>
      </c>
      <c r="N959" s="257" t="e">
        <f t="shared" si="764"/>
        <v>#REF!</v>
      </c>
      <c r="O959" s="257" t="e">
        <f t="shared" si="762"/>
        <v>#REF!</v>
      </c>
    </row>
    <row r="960" spans="1:15" ht="12.75" hidden="1" customHeight="1" x14ac:dyDescent="0.2">
      <c r="A960" s="462" t="s">
        <v>362</v>
      </c>
      <c r="B960" s="249">
        <v>813</v>
      </c>
      <c r="C960" s="250" t="s">
        <v>212</v>
      </c>
      <c r="D960" s="250"/>
      <c r="E960" s="250"/>
      <c r="F960" s="250"/>
      <c r="G960" s="257" t="e">
        <v>#REF!</v>
      </c>
      <c r="H960" s="257" t="e">
        <v>#REF!</v>
      </c>
      <c r="I960" s="257" t="e">
        <v>#REF!</v>
      </c>
      <c r="J960" s="257" t="e">
        <f t="shared" si="759"/>
        <v>#REF!</v>
      </c>
      <c r="K960" s="257" t="e">
        <f t="shared" si="759"/>
        <v>#REF!</v>
      </c>
      <c r="L960" s="257" t="e">
        <f t="shared" si="759"/>
        <v>#REF!</v>
      </c>
      <c r="M960" s="257" t="e">
        <f t="shared" si="763"/>
        <v>#REF!</v>
      </c>
      <c r="N960" s="257" t="e">
        <f t="shared" si="764"/>
        <v>#REF!</v>
      </c>
      <c r="O960" s="257" t="e">
        <f t="shared" si="762"/>
        <v>#REF!</v>
      </c>
    </row>
    <row r="961" spans="1:15" ht="25.5" hidden="1" customHeight="1" x14ac:dyDescent="0.2">
      <c r="A961" s="462" t="s">
        <v>273</v>
      </c>
      <c r="B961" s="249">
        <v>813</v>
      </c>
      <c r="C961" s="250" t="s">
        <v>212</v>
      </c>
      <c r="D961" s="250">
        <v>10</v>
      </c>
      <c r="E961" s="250"/>
      <c r="F961" s="250"/>
      <c r="G961" s="257" t="e">
        <v>#REF!</v>
      </c>
      <c r="H961" s="257" t="e">
        <v>#REF!</v>
      </c>
      <c r="I961" s="257" t="e">
        <v>#REF!</v>
      </c>
      <c r="J961" s="257" t="e">
        <f t="shared" si="759"/>
        <v>#REF!</v>
      </c>
      <c r="K961" s="257" t="e">
        <f t="shared" si="759"/>
        <v>#REF!</v>
      </c>
      <c r="L961" s="257" t="e">
        <f t="shared" si="759"/>
        <v>#REF!</v>
      </c>
      <c r="M961" s="257" t="e">
        <f t="shared" si="763"/>
        <v>#REF!</v>
      </c>
      <c r="N961" s="257" t="e">
        <f t="shared" si="764"/>
        <v>#REF!</v>
      </c>
      <c r="O961" s="257" t="e">
        <f t="shared" si="762"/>
        <v>#REF!</v>
      </c>
    </row>
    <row r="962" spans="1:15" ht="38.25" hidden="1" customHeight="1" x14ac:dyDescent="0.2">
      <c r="A962" s="259" t="s">
        <v>331</v>
      </c>
      <c r="B962" s="271">
        <v>813</v>
      </c>
      <c r="C962" s="252" t="s">
        <v>212</v>
      </c>
      <c r="D962" s="252">
        <v>10</v>
      </c>
      <c r="E962" s="260" t="s">
        <v>332</v>
      </c>
      <c r="F962" s="252"/>
      <c r="G962" s="257" t="e">
        <v>#REF!</v>
      </c>
      <c r="H962" s="257" t="e">
        <v>#REF!</v>
      </c>
      <c r="I962" s="257" t="e">
        <v>#REF!</v>
      </c>
      <c r="J962" s="257" t="e">
        <f t="shared" si="759"/>
        <v>#REF!</v>
      </c>
      <c r="K962" s="257" t="e">
        <f t="shared" ref="K962:L1007" si="765">I962+J962</f>
        <v>#REF!</v>
      </c>
      <c r="L962" s="257" t="e">
        <f t="shared" si="759"/>
        <v>#REF!</v>
      </c>
      <c r="M962" s="257" t="e">
        <f t="shared" si="763"/>
        <v>#REF!</v>
      </c>
      <c r="N962" s="257" t="e">
        <f t="shared" si="764"/>
        <v>#REF!</v>
      </c>
      <c r="O962" s="257" t="e">
        <f t="shared" si="762"/>
        <v>#REF!</v>
      </c>
    </row>
    <row r="963" spans="1:15" ht="12.75" hidden="1" customHeight="1" x14ac:dyDescent="0.2">
      <c r="A963" s="259" t="s">
        <v>333</v>
      </c>
      <c r="B963" s="271">
        <v>813</v>
      </c>
      <c r="C963" s="252" t="s">
        <v>212</v>
      </c>
      <c r="D963" s="252">
        <v>10</v>
      </c>
      <c r="E963" s="260" t="s">
        <v>334</v>
      </c>
      <c r="F963" s="252"/>
      <c r="G963" s="257" t="e">
        <v>#REF!</v>
      </c>
      <c r="H963" s="257" t="e">
        <v>#REF!</v>
      </c>
      <c r="I963" s="257" t="e">
        <v>#REF!</v>
      </c>
      <c r="J963" s="257" t="e">
        <f t="shared" ref="J963" si="766">H963+I963</f>
        <v>#REF!</v>
      </c>
      <c r="K963" s="257" t="e">
        <f t="shared" si="765"/>
        <v>#REF!</v>
      </c>
      <c r="L963" s="257" t="e">
        <f t="shared" si="765"/>
        <v>#REF!</v>
      </c>
      <c r="M963" s="257" t="e">
        <f t="shared" si="763"/>
        <v>#REF!</v>
      </c>
      <c r="N963" s="257" t="e">
        <f t="shared" si="764"/>
        <v>#REF!</v>
      </c>
      <c r="O963" s="257" t="e">
        <f t="shared" si="762"/>
        <v>#REF!</v>
      </c>
    </row>
    <row r="964" spans="1:15" ht="12.75" hidden="1" customHeight="1" x14ac:dyDescent="0.2">
      <c r="A964" s="259" t="s">
        <v>320</v>
      </c>
      <c r="B964" s="271">
        <v>813</v>
      </c>
      <c r="C964" s="252" t="s">
        <v>212</v>
      </c>
      <c r="D964" s="252">
        <v>10</v>
      </c>
      <c r="E964" s="260" t="s">
        <v>334</v>
      </c>
      <c r="F964" s="252" t="s">
        <v>321</v>
      </c>
      <c r="G964" s="257" t="e">
        <v>#REF!</v>
      </c>
      <c r="H964" s="257" t="e">
        <v>#REF!</v>
      </c>
      <c r="I964" s="257" t="e">
        <v>#REF!</v>
      </c>
      <c r="J964" s="257" t="e">
        <f t="shared" ref="J964:J1003" si="767">H964+I964</f>
        <v>#REF!</v>
      </c>
      <c r="K964" s="257" t="e">
        <f t="shared" si="765"/>
        <v>#REF!</v>
      </c>
      <c r="L964" s="257" t="e">
        <f t="shared" si="765"/>
        <v>#REF!</v>
      </c>
      <c r="M964" s="257" t="e">
        <f t="shared" si="763"/>
        <v>#REF!</v>
      </c>
      <c r="N964" s="257" t="e">
        <f t="shared" si="764"/>
        <v>#REF!</v>
      </c>
      <c r="O964" s="257" t="e">
        <f t="shared" ref="O964:O1003" si="768">M964+N964</f>
        <v>#REF!</v>
      </c>
    </row>
    <row r="965" spans="1:15" ht="12.75" hidden="1" customHeight="1" x14ac:dyDescent="0.2">
      <c r="A965" s="259" t="s">
        <v>302</v>
      </c>
      <c r="B965" s="271">
        <v>813</v>
      </c>
      <c r="C965" s="252" t="s">
        <v>212</v>
      </c>
      <c r="D965" s="252">
        <v>10</v>
      </c>
      <c r="E965" s="260" t="s">
        <v>334</v>
      </c>
      <c r="F965" s="252" t="s">
        <v>303</v>
      </c>
      <c r="G965" s="257" t="e">
        <v>#REF!</v>
      </c>
      <c r="H965" s="257" t="e">
        <v>#REF!</v>
      </c>
      <c r="I965" s="257" t="e">
        <v>#REF!</v>
      </c>
      <c r="J965" s="257" t="e">
        <f t="shared" si="767"/>
        <v>#REF!</v>
      </c>
      <c r="K965" s="257" t="e">
        <f t="shared" si="765"/>
        <v>#REF!</v>
      </c>
      <c r="L965" s="257" t="e">
        <f t="shared" si="765"/>
        <v>#REF!</v>
      </c>
      <c r="M965" s="257" t="e">
        <f t="shared" si="763"/>
        <v>#REF!</v>
      </c>
      <c r="N965" s="257" t="e">
        <f t="shared" si="764"/>
        <v>#REF!</v>
      </c>
      <c r="O965" s="257" t="e">
        <f t="shared" si="768"/>
        <v>#REF!</v>
      </c>
    </row>
    <row r="966" spans="1:15" ht="12.75" hidden="1" customHeight="1" x14ac:dyDescent="0.2">
      <c r="A966" s="525" t="s">
        <v>56</v>
      </c>
      <c r="B966" s="526"/>
      <c r="C966" s="526"/>
      <c r="D966" s="526"/>
      <c r="E966" s="526"/>
      <c r="F966" s="526"/>
      <c r="G966" s="257" t="e">
        <v>#REF!</v>
      </c>
      <c r="H966" s="257" t="e">
        <v>#REF!</v>
      </c>
      <c r="I966" s="257" t="e">
        <v>#REF!</v>
      </c>
      <c r="J966" s="257" t="e">
        <f t="shared" si="767"/>
        <v>#REF!</v>
      </c>
      <c r="K966" s="257" t="e">
        <f t="shared" si="765"/>
        <v>#REF!</v>
      </c>
      <c r="L966" s="257" t="e">
        <f t="shared" si="765"/>
        <v>#REF!</v>
      </c>
      <c r="M966" s="257" t="e">
        <f t="shared" si="763"/>
        <v>#REF!</v>
      </c>
      <c r="N966" s="257" t="e">
        <f t="shared" si="764"/>
        <v>#REF!</v>
      </c>
      <c r="O966" s="257" t="e">
        <f t="shared" si="768"/>
        <v>#REF!</v>
      </c>
    </row>
    <row r="967" spans="1:15" ht="12.75" hidden="1" customHeight="1" x14ac:dyDescent="0.2">
      <c r="A967" s="462" t="s">
        <v>72</v>
      </c>
      <c r="B967" s="250" t="s">
        <v>57</v>
      </c>
      <c r="C967" s="250" t="s">
        <v>190</v>
      </c>
      <c r="D967" s="250"/>
      <c r="E967" s="250"/>
      <c r="F967" s="250"/>
      <c r="G967" s="257" t="e">
        <v>#REF!</v>
      </c>
      <c r="H967" s="257" t="e">
        <v>#REF!</v>
      </c>
      <c r="I967" s="257" t="e">
        <v>#REF!</v>
      </c>
      <c r="J967" s="257" t="e">
        <f t="shared" si="767"/>
        <v>#REF!</v>
      </c>
      <c r="K967" s="257" t="e">
        <f t="shared" si="765"/>
        <v>#REF!</v>
      </c>
      <c r="L967" s="257" t="e">
        <f t="shared" si="765"/>
        <v>#REF!</v>
      </c>
      <c r="M967" s="257" t="e">
        <f t="shared" si="763"/>
        <v>#REF!</v>
      </c>
      <c r="N967" s="257" t="e">
        <f t="shared" si="764"/>
        <v>#REF!</v>
      </c>
      <c r="O967" s="257" t="e">
        <f t="shared" si="768"/>
        <v>#REF!</v>
      </c>
    </row>
    <row r="968" spans="1:15" ht="12.75" hidden="1" customHeight="1" x14ac:dyDescent="0.2">
      <c r="A968" s="462" t="s">
        <v>206</v>
      </c>
      <c r="B968" s="250" t="s">
        <v>57</v>
      </c>
      <c r="C968" s="250" t="s">
        <v>190</v>
      </c>
      <c r="D968" s="250" t="s">
        <v>207</v>
      </c>
      <c r="E968" s="250"/>
      <c r="F968" s="250"/>
      <c r="G968" s="257" t="e">
        <v>#REF!</v>
      </c>
      <c r="H968" s="257" t="e">
        <v>#REF!</v>
      </c>
      <c r="I968" s="257" t="e">
        <v>#REF!</v>
      </c>
      <c r="J968" s="257" t="e">
        <f t="shared" si="767"/>
        <v>#REF!</v>
      </c>
      <c r="K968" s="257" t="e">
        <f t="shared" si="765"/>
        <v>#REF!</v>
      </c>
      <c r="L968" s="257" t="e">
        <f t="shared" si="765"/>
        <v>#REF!</v>
      </c>
      <c r="M968" s="257" t="e">
        <f t="shared" si="763"/>
        <v>#REF!</v>
      </c>
      <c r="N968" s="257" t="e">
        <f t="shared" si="764"/>
        <v>#REF!</v>
      </c>
      <c r="O968" s="257" t="e">
        <f t="shared" si="768"/>
        <v>#REF!</v>
      </c>
    </row>
    <row r="969" spans="1:15" ht="38.25" hidden="1" customHeight="1" x14ac:dyDescent="0.2">
      <c r="A969" s="259" t="s">
        <v>123</v>
      </c>
      <c r="B969" s="252" t="s">
        <v>57</v>
      </c>
      <c r="C969" s="252" t="s">
        <v>190</v>
      </c>
      <c r="D969" s="252" t="s">
        <v>207</v>
      </c>
      <c r="E969" s="260" t="s">
        <v>332</v>
      </c>
      <c r="F969" s="252"/>
      <c r="G969" s="257" t="e">
        <v>#REF!</v>
      </c>
      <c r="H969" s="257" t="e">
        <v>#REF!</v>
      </c>
      <c r="I969" s="257" t="e">
        <v>#REF!</v>
      </c>
      <c r="J969" s="257" t="e">
        <f t="shared" si="767"/>
        <v>#REF!</v>
      </c>
      <c r="K969" s="257" t="e">
        <f t="shared" si="765"/>
        <v>#REF!</v>
      </c>
      <c r="L969" s="257" t="e">
        <f t="shared" si="765"/>
        <v>#REF!</v>
      </c>
      <c r="M969" s="257" t="e">
        <f t="shared" si="763"/>
        <v>#REF!</v>
      </c>
      <c r="N969" s="257" t="e">
        <f t="shared" si="764"/>
        <v>#REF!</v>
      </c>
      <c r="O969" s="257" t="e">
        <f t="shared" si="768"/>
        <v>#REF!</v>
      </c>
    </row>
    <row r="970" spans="1:15" ht="12.75" hidden="1" customHeight="1" x14ac:dyDescent="0.2">
      <c r="A970" s="259" t="s">
        <v>333</v>
      </c>
      <c r="B970" s="252" t="s">
        <v>57</v>
      </c>
      <c r="C970" s="252" t="s">
        <v>190</v>
      </c>
      <c r="D970" s="252" t="s">
        <v>207</v>
      </c>
      <c r="E970" s="260" t="s">
        <v>334</v>
      </c>
      <c r="F970" s="252"/>
      <c r="G970" s="257" t="e">
        <v>#REF!</v>
      </c>
      <c r="H970" s="257" t="e">
        <v>#REF!</v>
      </c>
      <c r="I970" s="257" t="e">
        <v>#REF!</v>
      </c>
      <c r="J970" s="257" t="e">
        <f t="shared" si="767"/>
        <v>#REF!</v>
      </c>
      <c r="K970" s="257" t="e">
        <f t="shared" si="765"/>
        <v>#REF!</v>
      </c>
      <c r="L970" s="257" t="e">
        <f t="shared" si="765"/>
        <v>#REF!</v>
      </c>
      <c r="M970" s="257" t="e">
        <f t="shared" ref="M970:M1001" si="769">L970+L970</f>
        <v>#REF!</v>
      </c>
      <c r="N970" s="257" t="e">
        <f t="shared" ref="N970:N1001" si="770">L970+M970</f>
        <v>#REF!</v>
      </c>
      <c r="O970" s="257" t="e">
        <f t="shared" si="768"/>
        <v>#REF!</v>
      </c>
    </row>
    <row r="971" spans="1:15" ht="12.75" hidden="1" customHeight="1" x14ac:dyDescent="0.2">
      <c r="A971" s="259" t="s">
        <v>320</v>
      </c>
      <c r="B971" s="252" t="s">
        <v>57</v>
      </c>
      <c r="C971" s="252" t="s">
        <v>190</v>
      </c>
      <c r="D971" s="252" t="s">
        <v>207</v>
      </c>
      <c r="E971" s="260" t="s">
        <v>334</v>
      </c>
      <c r="F971" s="252" t="s">
        <v>321</v>
      </c>
      <c r="G971" s="257" t="e">
        <v>#REF!</v>
      </c>
      <c r="H971" s="257" t="e">
        <v>#REF!</v>
      </c>
      <c r="I971" s="257" t="e">
        <v>#REF!</v>
      </c>
      <c r="J971" s="257" t="e">
        <f t="shared" si="767"/>
        <v>#REF!</v>
      </c>
      <c r="K971" s="257" t="e">
        <f t="shared" si="765"/>
        <v>#REF!</v>
      </c>
      <c r="L971" s="257" t="e">
        <f t="shared" si="765"/>
        <v>#REF!</v>
      </c>
      <c r="M971" s="257" t="e">
        <f t="shared" si="769"/>
        <v>#REF!</v>
      </c>
      <c r="N971" s="257" t="e">
        <f t="shared" si="770"/>
        <v>#REF!</v>
      </c>
      <c r="O971" s="257" t="e">
        <f t="shared" si="768"/>
        <v>#REF!</v>
      </c>
    </row>
    <row r="972" spans="1:15" ht="12.75" hidden="1" customHeight="1" x14ac:dyDescent="0.2">
      <c r="A972" s="259" t="s">
        <v>302</v>
      </c>
      <c r="B972" s="252" t="s">
        <v>57</v>
      </c>
      <c r="C972" s="252" t="s">
        <v>190</v>
      </c>
      <c r="D972" s="252" t="s">
        <v>207</v>
      </c>
      <c r="E972" s="260" t="s">
        <v>334</v>
      </c>
      <c r="F972" s="252" t="s">
        <v>303</v>
      </c>
      <c r="G972" s="257" t="e">
        <v>#REF!</v>
      </c>
      <c r="H972" s="257" t="e">
        <v>#REF!</v>
      </c>
      <c r="I972" s="257" t="e">
        <v>#REF!</v>
      </c>
      <c r="J972" s="257" t="e">
        <f t="shared" si="767"/>
        <v>#REF!</v>
      </c>
      <c r="K972" s="257" t="e">
        <f t="shared" si="765"/>
        <v>#REF!</v>
      </c>
      <c r="L972" s="257" t="e">
        <f t="shared" si="765"/>
        <v>#REF!</v>
      </c>
      <c r="M972" s="257" t="e">
        <f t="shared" si="769"/>
        <v>#REF!</v>
      </c>
      <c r="N972" s="257" t="e">
        <f t="shared" si="770"/>
        <v>#REF!</v>
      </c>
      <c r="O972" s="257" t="e">
        <f t="shared" si="768"/>
        <v>#REF!</v>
      </c>
    </row>
    <row r="973" spans="1:15" ht="34.5" hidden="1" customHeight="1" x14ac:dyDescent="0.2">
      <c r="A973" s="525" t="s">
        <v>58</v>
      </c>
      <c r="B973" s="526"/>
      <c r="C973" s="526"/>
      <c r="D973" s="526"/>
      <c r="E973" s="526"/>
      <c r="F973" s="252"/>
      <c r="G973" s="257" t="e">
        <v>#REF!</v>
      </c>
      <c r="H973" s="257" t="e">
        <v>#REF!</v>
      </c>
      <c r="I973" s="257" t="e">
        <v>#REF!</v>
      </c>
      <c r="J973" s="257" t="e">
        <f t="shared" si="767"/>
        <v>#REF!</v>
      </c>
      <c r="K973" s="257" t="e">
        <f t="shared" si="765"/>
        <v>#REF!</v>
      </c>
      <c r="L973" s="257" t="e">
        <f t="shared" si="765"/>
        <v>#REF!</v>
      </c>
      <c r="M973" s="257" t="e">
        <f t="shared" si="769"/>
        <v>#REF!</v>
      </c>
      <c r="N973" s="257" t="e">
        <f t="shared" si="770"/>
        <v>#REF!</v>
      </c>
      <c r="O973" s="257" t="e">
        <f t="shared" si="768"/>
        <v>#REF!</v>
      </c>
    </row>
    <row r="974" spans="1:15" ht="12.75" hidden="1" customHeight="1" x14ac:dyDescent="0.2">
      <c r="A974" s="462" t="s">
        <v>306</v>
      </c>
      <c r="B974" s="249">
        <v>815</v>
      </c>
      <c r="C974" s="250" t="s">
        <v>196</v>
      </c>
      <c r="D974" s="250"/>
      <c r="E974" s="250"/>
      <c r="F974" s="250"/>
      <c r="G974" s="257" t="e">
        <v>#REF!</v>
      </c>
      <c r="H974" s="257" t="e">
        <v>#REF!</v>
      </c>
      <c r="I974" s="257" t="e">
        <v>#REF!</v>
      </c>
      <c r="J974" s="257" t="e">
        <f t="shared" si="767"/>
        <v>#REF!</v>
      </c>
      <c r="K974" s="257" t="e">
        <f t="shared" si="765"/>
        <v>#REF!</v>
      </c>
      <c r="L974" s="257" t="e">
        <f t="shared" si="765"/>
        <v>#REF!</v>
      </c>
      <c r="M974" s="257" t="e">
        <f t="shared" si="769"/>
        <v>#REF!</v>
      </c>
      <c r="N974" s="257" t="e">
        <f t="shared" si="770"/>
        <v>#REF!</v>
      </c>
      <c r="O974" s="257" t="e">
        <f t="shared" si="768"/>
        <v>#REF!</v>
      </c>
    </row>
    <row r="975" spans="1:15" ht="12.75" hidden="1" customHeight="1" x14ac:dyDescent="0.2">
      <c r="A975" s="462" t="s">
        <v>217</v>
      </c>
      <c r="B975" s="249">
        <v>815</v>
      </c>
      <c r="C975" s="250" t="s">
        <v>196</v>
      </c>
      <c r="D975" s="250" t="s">
        <v>198</v>
      </c>
      <c r="E975" s="250"/>
      <c r="F975" s="250"/>
      <c r="G975" s="257" t="e">
        <v>#REF!</v>
      </c>
      <c r="H975" s="257" t="e">
        <v>#REF!</v>
      </c>
      <c r="I975" s="257" t="e">
        <v>#REF!</v>
      </c>
      <c r="J975" s="257" t="e">
        <f t="shared" si="767"/>
        <v>#REF!</v>
      </c>
      <c r="K975" s="257" t="e">
        <f t="shared" si="765"/>
        <v>#REF!</v>
      </c>
      <c r="L975" s="257" t="e">
        <f t="shared" si="765"/>
        <v>#REF!</v>
      </c>
      <c r="M975" s="257" t="e">
        <f t="shared" si="769"/>
        <v>#REF!</v>
      </c>
      <c r="N975" s="257" t="e">
        <f t="shared" si="770"/>
        <v>#REF!</v>
      </c>
      <c r="O975" s="257" t="e">
        <f t="shared" si="768"/>
        <v>#REF!</v>
      </c>
    </row>
    <row r="976" spans="1:15" ht="38.25" hidden="1" customHeight="1" x14ac:dyDescent="0.2">
      <c r="A976" s="259" t="s">
        <v>123</v>
      </c>
      <c r="B976" s="271">
        <v>815</v>
      </c>
      <c r="C976" s="252" t="s">
        <v>196</v>
      </c>
      <c r="D976" s="252" t="s">
        <v>198</v>
      </c>
      <c r="E976" s="252" t="s">
        <v>332</v>
      </c>
      <c r="F976" s="250"/>
      <c r="G976" s="257" t="e">
        <v>#REF!</v>
      </c>
      <c r="H976" s="257" t="e">
        <v>#REF!</v>
      </c>
      <c r="I976" s="257" t="e">
        <v>#REF!</v>
      </c>
      <c r="J976" s="257" t="e">
        <f t="shared" si="767"/>
        <v>#REF!</v>
      </c>
      <c r="K976" s="257" t="e">
        <f t="shared" si="765"/>
        <v>#REF!</v>
      </c>
      <c r="L976" s="257" t="e">
        <f t="shared" si="765"/>
        <v>#REF!</v>
      </c>
      <c r="M976" s="257" t="e">
        <f t="shared" si="769"/>
        <v>#REF!</v>
      </c>
      <c r="N976" s="257" t="e">
        <f t="shared" si="770"/>
        <v>#REF!</v>
      </c>
      <c r="O976" s="257" t="e">
        <f t="shared" si="768"/>
        <v>#REF!</v>
      </c>
    </row>
    <row r="977" spans="1:15" ht="12.75" hidden="1" customHeight="1" x14ac:dyDescent="0.2">
      <c r="A977" s="259" t="s">
        <v>333</v>
      </c>
      <c r="B977" s="271">
        <v>815</v>
      </c>
      <c r="C977" s="252" t="s">
        <v>196</v>
      </c>
      <c r="D977" s="252" t="s">
        <v>198</v>
      </c>
      <c r="E977" s="252" t="s">
        <v>334</v>
      </c>
      <c r="F977" s="252"/>
      <c r="G977" s="257" t="e">
        <v>#REF!</v>
      </c>
      <c r="H977" s="257" t="e">
        <v>#REF!</v>
      </c>
      <c r="I977" s="257" t="e">
        <v>#REF!</v>
      </c>
      <c r="J977" s="257" t="e">
        <f t="shared" si="767"/>
        <v>#REF!</v>
      </c>
      <c r="K977" s="257" t="e">
        <f t="shared" si="765"/>
        <v>#REF!</v>
      </c>
      <c r="L977" s="257" t="e">
        <f t="shared" si="765"/>
        <v>#REF!</v>
      </c>
      <c r="M977" s="257" t="e">
        <f t="shared" si="769"/>
        <v>#REF!</v>
      </c>
      <c r="N977" s="257" t="e">
        <f t="shared" si="770"/>
        <v>#REF!</v>
      </c>
      <c r="O977" s="257" t="e">
        <f t="shared" si="768"/>
        <v>#REF!</v>
      </c>
    </row>
    <row r="978" spans="1:15" ht="12.75" hidden="1" customHeight="1" x14ac:dyDescent="0.2">
      <c r="A978" s="259" t="s">
        <v>320</v>
      </c>
      <c r="B978" s="271">
        <v>815</v>
      </c>
      <c r="C978" s="252" t="s">
        <v>196</v>
      </c>
      <c r="D978" s="252" t="s">
        <v>198</v>
      </c>
      <c r="E978" s="252" t="s">
        <v>334</v>
      </c>
      <c r="F978" s="252" t="s">
        <v>321</v>
      </c>
      <c r="G978" s="257" t="e">
        <v>#REF!</v>
      </c>
      <c r="H978" s="257" t="e">
        <v>#REF!</v>
      </c>
      <c r="I978" s="257" t="e">
        <v>#REF!</v>
      </c>
      <c r="J978" s="257" t="e">
        <f t="shared" si="767"/>
        <v>#REF!</v>
      </c>
      <c r="K978" s="257" t="e">
        <f t="shared" si="765"/>
        <v>#REF!</v>
      </c>
      <c r="L978" s="257" t="e">
        <f t="shared" si="765"/>
        <v>#REF!</v>
      </c>
      <c r="M978" s="257" t="e">
        <f t="shared" si="769"/>
        <v>#REF!</v>
      </c>
      <c r="N978" s="257" t="e">
        <f t="shared" si="770"/>
        <v>#REF!</v>
      </c>
      <c r="O978" s="257" t="e">
        <f t="shared" si="768"/>
        <v>#REF!</v>
      </c>
    </row>
    <row r="979" spans="1:15" ht="25.5" hidden="1" customHeight="1" x14ac:dyDescent="0.2">
      <c r="A979" s="259" t="s">
        <v>59</v>
      </c>
      <c r="B979" s="271">
        <v>815</v>
      </c>
      <c r="C979" s="252" t="s">
        <v>196</v>
      </c>
      <c r="D979" s="252" t="s">
        <v>198</v>
      </c>
      <c r="E979" s="252" t="s">
        <v>60</v>
      </c>
      <c r="F979" s="252"/>
      <c r="G979" s="257" t="e">
        <v>#REF!</v>
      </c>
      <c r="H979" s="257" t="e">
        <v>#REF!</v>
      </c>
      <c r="I979" s="257" t="e">
        <v>#REF!</v>
      </c>
      <c r="J979" s="257" t="e">
        <f t="shared" si="767"/>
        <v>#REF!</v>
      </c>
      <c r="K979" s="257" t="e">
        <f t="shared" si="765"/>
        <v>#REF!</v>
      </c>
      <c r="L979" s="257" t="e">
        <f t="shared" si="765"/>
        <v>#REF!</v>
      </c>
      <c r="M979" s="257" t="e">
        <f t="shared" si="769"/>
        <v>#REF!</v>
      </c>
      <c r="N979" s="257" t="e">
        <f t="shared" si="770"/>
        <v>#REF!</v>
      </c>
      <c r="O979" s="257" t="e">
        <f t="shared" si="768"/>
        <v>#REF!</v>
      </c>
    </row>
    <row r="980" spans="1:15" ht="12.75" hidden="1" customHeight="1" x14ac:dyDescent="0.2">
      <c r="A980" s="259" t="s">
        <v>320</v>
      </c>
      <c r="B980" s="271">
        <v>815</v>
      </c>
      <c r="C980" s="252" t="s">
        <v>196</v>
      </c>
      <c r="D980" s="252" t="s">
        <v>198</v>
      </c>
      <c r="E980" s="252" t="s">
        <v>60</v>
      </c>
      <c r="F980" s="252" t="s">
        <v>321</v>
      </c>
      <c r="G980" s="257" t="e">
        <v>#REF!</v>
      </c>
      <c r="H980" s="257" t="e">
        <v>#REF!</v>
      </c>
      <c r="I980" s="257" t="e">
        <v>#REF!</v>
      </c>
      <c r="J980" s="257" t="e">
        <f t="shared" si="767"/>
        <v>#REF!</v>
      </c>
      <c r="K980" s="257" t="e">
        <f t="shared" si="765"/>
        <v>#REF!</v>
      </c>
      <c r="L980" s="257" t="e">
        <f t="shared" si="765"/>
        <v>#REF!</v>
      </c>
      <c r="M980" s="257" t="e">
        <f t="shared" si="769"/>
        <v>#REF!</v>
      </c>
      <c r="N980" s="257" t="e">
        <f t="shared" si="770"/>
        <v>#REF!</v>
      </c>
      <c r="O980" s="257" t="e">
        <f t="shared" si="768"/>
        <v>#REF!</v>
      </c>
    </row>
    <row r="981" spans="1:15" ht="12.75" hidden="1" customHeight="1" x14ac:dyDescent="0.2">
      <c r="A981" s="462" t="s">
        <v>25</v>
      </c>
      <c r="B981" s="249">
        <v>815</v>
      </c>
      <c r="C981" s="250" t="s">
        <v>200</v>
      </c>
      <c r="D981" s="250"/>
      <c r="E981" s="252"/>
      <c r="F981" s="252"/>
      <c r="G981" s="257" t="e">
        <v>#REF!</v>
      </c>
      <c r="H981" s="257" t="e">
        <v>#REF!</v>
      </c>
      <c r="I981" s="257" t="e">
        <v>#REF!</v>
      </c>
      <c r="J981" s="257" t="e">
        <f t="shared" si="767"/>
        <v>#REF!</v>
      </c>
      <c r="K981" s="257" t="e">
        <f t="shared" si="765"/>
        <v>#REF!</v>
      </c>
      <c r="L981" s="257" t="e">
        <f t="shared" si="765"/>
        <v>#REF!</v>
      </c>
      <c r="M981" s="257" t="e">
        <f t="shared" si="769"/>
        <v>#REF!</v>
      </c>
      <c r="N981" s="257" t="e">
        <f t="shared" si="770"/>
        <v>#REF!</v>
      </c>
      <c r="O981" s="257" t="e">
        <f t="shared" si="768"/>
        <v>#REF!</v>
      </c>
    </row>
    <row r="982" spans="1:15" ht="25.5" hidden="1" customHeight="1" x14ac:dyDescent="0.2">
      <c r="A982" s="462" t="s">
        <v>26</v>
      </c>
      <c r="B982" s="249">
        <v>815</v>
      </c>
      <c r="C982" s="250" t="s">
        <v>200</v>
      </c>
      <c r="D982" s="250" t="s">
        <v>194</v>
      </c>
      <c r="E982" s="252"/>
      <c r="F982" s="252"/>
      <c r="G982" s="257" t="e">
        <v>#REF!</v>
      </c>
      <c r="H982" s="257" t="e">
        <v>#REF!</v>
      </c>
      <c r="I982" s="257" t="e">
        <v>#REF!</v>
      </c>
      <c r="J982" s="257" t="e">
        <f t="shared" si="767"/>
        <v>#REF!</v>
      </c>
      <c r="K982" s="257" t="e">
        <f t="shared" si="765"/>
        <v>#REF!</v>
      </c>
      <c r="L982" s="257" t="e">
        <f t="shared" si="765"/>
        <v>#REF!</v>
      </c>
      <c r="M982" s="257" t="e">
        <f t="shared" si="769"/>
        <v>#REF!</v>
      </c>
      <c r="N982" s="257" t="e">
        <f t="shared" si="770"/>
        <v>#REF!</v>
      </c>
      <c r="O982" s="257" t="e">
        <f t="shared" si="768"/>
        <v>#REF!</v>
      </c>
    </row>
    <row r="983" spans="1:15" ht="12.75" hidden="1" customHeight="1" x14ac:dyDescent="0.2">
      <c r="A983" s="462" t="s">
        <v>142</v>
      </c>
      <c r="B983" s="249">
        <v>815</v>
      </c>
      <c r="C983" s="250" t="s">
        <v>200</v>
      </c>
      <c r="D983" s="250" t="s">
        <v>194</v>
      </c>
      <c r="E983" s="252" t="s">
        <v>330</v>
      </c>
      <c r="F983" s="252"/>
      <c r="G983" s="257" t="e">
        <v>#REF!</v>
      </c>
      <c r="H983" s="257" t="e">
        <v>#REF!</v>
      </c>
      <c r="I983" s="257" t="e">
        <v>#REF!</v>
      </c>
      <c r="J983" s="257" t="e">
        <f t="shared" si="767"/>
        <v>#REF!</v>
      </c>
      <c r="K983" s="257" t="e">
        <f t="shared" si="765"/>
        <v>#REF!</v>
      </c>
      <c r="L983" s="257" t="e">
        <f t="shared" si="765"/>
        <v>#REF!</v>
      </c>
      <c r="M983" s="257" t="e">
        <f t="shared" si="769"/>
        <v>#REF!</v>
      </c>
      <c r="N983" s="257" t="e">
        <f t="shared" si="770"/>
        <v>#REF!</v>
      </c>
      <c r="O983" s="257" t="e">
        <f t="shared" si="768"/>
        <v>#REF!</v>
      </c>
    </row>
    <row r="984" spans="1:15" ht="51" hidden="1" customHeight="1" x14ac:dyDescent="0.2">
      <c r="A984" s="259" t="s">
        <v>260</v>
      </c>
      <c r="B984" s="271">
        <v>815</v>
      </c>
      <c r="C984" s="252" t="s">
        <v>200</v>
      </c>
      <c r="D984" s="252" t="s">
        <v>194</v>
      </c>
      <c r="E984" s="252" t="s">
        <v>261</v>
      </c>
      <c r="F984" s="250"/>
      <c r="G984" s="257" t="e">
        <v>#REF!</v>
      </c>
      <c r="H984" s="257" t="e">
        <v>#REF!</v>
      </c>
      <c r="I984" s="257" t="e">
        <v>#REF!</v>
      </c>
      <c r="J984" s="257" t="e">
        <f t="shared" si="767"/>
        <v>#REF!</v>
      </c>
      <c r="K984" s="257" t="e">
        <f t="shared" si="765"/>
        <v>#REF!</v>
      </c>
      <c r="L984" s="257" t="e">
        <f t="shared" si="765"/>
        <v>#REF!</v>
      </c>
      <c r="M984" s="257" t="e">
        <f t="shared" si="769"/>
        <v>#REF!</v>
      </c>
      <c r="N984" s="257" t="e">
        <f t="shared" si="770"/>
        <v>#REF!</v>
      </c>
      <c r="O984" s="257" t="e">
        <f t="shared" si="768"/>
        <v>#REF!</v>
      </c>
    </row>
    <row r="985" spans="1:15" ht="12.75" hidden="1" customHeight="1" x14ac:dyDescent="0.2">
      <c r="A985" s="259" t="s">
        <v>320</v>
      </c>
      <c r="B985" s="271">
        <v>815</v>
      </c>
      <c r="C985" s="252" t="s">
        <v>200</v>
      </c>
      <c r="D985" s="252" t="s">
        <v>194</v>
      </c>
      <c r="E985" s="252" t="s">
        <v>261</v>
      </c>
      <c r="F985" s="252" t="s">
        <v>321</v>
      </c>
      <c r="G985" s="257" t="e">
        <v>#REF!</v>
      </c>
      <c r="H985" s="257" t="e">
        <v>#REF!</v>
      </c>
      <c r="I985" s="257" t="e">
        <v>#REF!</v>
      </c>
      <c r="J985" s="257" t="e">
        <f t="shared" si="767"/>
        <v>#REF!</v>
      </c>
      <c r="K985" s="257" t="e">
        <f t="shared" si="765"/>
        <v>#REF!</v>
      </c>
      <c r="L985" s="257" t="e">
        <f t="shared" si="765"/>
        <v>#REF!</v>
      </c>
      <c r="M985" s="257" t="e">
        <f t="shared" si="769"/>
        <v>#REF!</v>
      </c>
      <c r="N985" s="257" t="e">
        <f t="shared" si="770"/>
        <v>#REF!</v>
      </c>
      <c r="O985" s="257" t="e">
        <f t="shared" si="768"/>
        <v>#REF!</v>
      </c>
    </row>
    <row r="986" spans="1:15" ht="25.5" hidden="1" customHeight="1" x14ac:dyDescent="0.2">
      <c r="A986" s="259" t="s">
        <v>262</v>
      </c>
      <c r="B986" s="271">
        <v>815</v>
      </c>
      <c r="C986" s="252" t="s">
        <v>200</v>
      </c>
      <c r="D986" s="252" t="s">
        <v>194</v>
      </c>
      <c r="E986" s="252" t="s">
        <v>263</v>
      </c>
      <c r="F986" s="250"/>
      <c r="G986" s="257" t="e">
        <v>#REF!</v>
      </c>
      <c r="H986" s="257" t="e">
        <v>#REF!</v>
      </c>
      <c r="I986" s="257" t="e">
        <v>#REF!</v>
      </c>
      <c r="J986" s="257" t="e">
        <f t="shared" si="767"/>
        <v>#REF!</v>
      </c>
      <c r="K986" s="257" t="e">
        <f t="shared" si="765"/>
        <v>#REF!</v>
      </c>
      <c r="L986" s="257" t="e">
        <f t="shared" si="765"/>
        <v>#REF!</v>
      </c>
      <c r="M986" s="257" t="e">
        <f t="shared" si="769"/>
        <v>#REF!</v>
      </c>
      <c r="N986" s="257" t="e">
        <f t="shared" si="770"/>
        <v>#REF!</v>
      </c>
      <c r="O986" s="257" t="e">
        <f t="shared" si="768"/>
        <v>#REF!</v>
      </c>
    </row>
    <row r="987" spans="1:15" ht="12.75" hidden="1" customHeight="1" x14ac:dyDescent="0.2">
      <c r="A987" s="259" t="s">
        <v>320</v>
      </c>
      <c r="B987" s="271">
        <v>815</v>
      </c>
      <c r="C987" s="252" t="s">
        <v>200</v>
      </c>
      <c r="D987" s="252" t="s">
        <v>194</v>
      </c>
      <c r="E987" s="252" t="s">
        <v>263</v>
      </c>
      <c r="F987" s="252" t="s">
        <v>321</v>
      </c>
      <c r="G987" s="257" t="e">
        <v>#REF!</v>
      </c>
      <c r="H987" s="257" t="e">
        <v>#REF!</v>
      </c>
      <c r="I987" s="257" t="e">
        <v>#REF!</v>
      </c>
      <c r="J987" s="257" t="e">
        <f t="shared" si="767"/>
        <v>#REF!</v>
      </c>
      <c r="K987" s="257" t="e">
        <f t="shared" si="765"/>
        <v>#REF!</v>
      </c>
      <c r="L987" s="257" t="e">
        <f t="shared" si="765"/>
        <v>#REF!</v>
      </c>
      <c r="M987" s="257" t="e">
        <f t="shared" si="769"/>
        <v>#REF!</v>
      </c>
      <c r="N987" s="257" t="e">
        <f t="shared" si="770"/>
        <v>#REF!</v>
      </c>
      <c r="O987" s="257" t="e">
        <f t="shared" si="768"/>
        <v>#REF!</v>
      </c>
    </row>
    <row r="988" spans="1:15" ht="38.25" hidden="1" customHeight="1" x14ac:dyDescent="0.2">
      <c r="A988" s="259" t="s">
        <v>264</v>
      </c>
      <c r="B988" s="271">
        <v>815</v>
      </c>
      <c r="C988" s="252" t="s">
        <v>200</v>
      </c>
      <c r="D988" s="252" t="s">
        <v>194</v>
      </c>
      <c r="E988" s="252" t="s">
        <v>265</v>
      </c>
      <c r="F988" s="252"/>
      <c r="G988" s="257" t="e">
        <v>#REF!</v>
      </c>
      <c r="H988" s="257" t="e">
        <v>#REF!</v>
      </c>
      <c r="I988" s="257" t="e">
        <v>#REF!</v>
      </c>
      <c r="J988" s="257" t="e">
        <f t="shared" si="767"/>
        <v>#REF!</v>
      </c>
      <c r="K988" s="257" t="e">
        <f t="shared" si="765"/>
        <v>#REF!</v>
      </c>
      <c r="L988" s="257" t="e">
        <f t="shared" si="765"/>
        <v>#REF!</v>
      </c>
      <c r="M988" s="257" t="e">
        <f t="shared" si="769"/>
        <v>#REF!</v>
      </c>
      <c r="N988" s="257" t="e">
        <f t="shared" si="770"/>
        <v>#REF!</v>
      </c>
      <c r="O988" s="257" t="e">
        <f t="shared" si="768"/>
        <v>#REF!</v>
      </c>
    </row>
    <row r="989" spans="1:15" ht="12.75" hidden="1" customHeight="1" x14ac:dyDescent="0.2">
      <c r="A989" s="259" t="s">
        <v>320</v>
      </c>
      <c r="B989" s="271">
        <v>815</v>
      </c>
      <c r="C989" s="252" t="s">
        <v>200</v>
      </c>
      <c r="D989" s="252" t="s">
        <v>194</v>
      </c>
      <c r="E989" s="252" t="s">
        <v>265</v>
      </c>
      <c r="F989" s="252" t="s">
        <v>321</v>
      </c>
      <c r="G989" s="257" t="e">
        <v>#REF!</v>
      </c>
      <c r="H989" s="257" t="e">
        <v>#REF!</v>
      </c>
      <c r="I989" s="257" t="e">
        <v>#REF!</v>
      </c>
      <c r="J989" s="257" t="e">
        <f t="shared" si="767"/>
        <v>#REF!</v>
      </c>
      <c r="K989" s="257" t="e">
        <f t="shared" si="765"/>
        <v>#REF!</v>
      </c>
      <c r="L989" s="257" t="e">
        <f t="shared" si="765"/>
        <v>#REF!</v>
      </c>
      <c r="M989" s="257" t="e">
        <f t="shared" si="769"/>
        <v>#REF!</v>
      </c>
      <c r="N989" s="257" t="e">
        <f t="shared" si="770"/>
        <v>#REF!</v>
      </c>
      <c r="O989" s="257" t="e">
        <f t="shared" si="768"/>
        <v>#REF!</v>
      </c>
    </row>
    <row r="990" spans="1:15" ht="12.75" hidden="1" customHeight="1" x14ac:dyDescent="0.2">
      <c r="A990" s="259" t="s">
        <v>95</v>
      </c>
      <c r="B990" s="271">
        <v>801</v>
      </c>
      <c r="C990" s="252" t="s">
        <v>205</v>
      </c>
      <c r="D990" s="252" t="s">
        <v>192</v>
      </c>
      <c r="E990" s="252" t="s">
        <v>5</v>
      </c>
      <c r="F990" s="252" t="s">
        <v>96</v>
      </c>
      <c r="G990" s="257" t="e">
        <v>#REF!</v>
      </c>
      <c r="H990" s="257" t="e">
        <v>#REF!</v>
      </c>
      <c r="I990" s="257" t="e">
        <v>#REF!</v>
      </c>
      <c r="J990" s="257" t="e">
        <f t="shared" si="767"/>
        <v>#REF!</v>
      </c>
      <c r="K990" s="257" t="e">
        <f t="shared" si="765"/>
        <v>#REF!</v>
      </c>
      <c r="L990" s="257" t="e">
        <f t="shared" si="765"/>
        <v>#REF!</v>
      </c>
      <c r="M990" s="257" t="e">
        <f t="shared" si="769"/>
        <v>#REF!</v>
      </c>
      <c r="N990" s="257" t="e">
        <f t="shared" si="770"/>
        <v>#REF!</v>
      </c>
      <c r="O990" s="257" t="e">
        <f t="shared" si="768"/>
        <v>#REF!</v>
      </c>
    </row>
    <row r="991" spans="1:15" ht="12.75" hidden="1" customHeight="1" x14ac:dyDescent="0.2">
      <c r="A991" s="259" t="s">
        <v>97</v>
      </c>
      <c r="B991" s="271">
        <v>801</v>
      </c>
      <c r="C991" s="252" t="s">
        <v>205</v>
      </c>
      <c r="D991" s="252" t="s">
        <v>192</v>
      </c>
      <c r="E991" s="252" t="s">
        <v>5</v>
      </c>
      <c r="F991" s="252" t="s">
        <v>98</v>
      </c>
      <c r="G991" s="257" t="e">
        <v>#REF!</v>
      </c>
      <c r="H991" s="257" t="e">
        <v>#REF!</v>
      </c>
      <c r="I991" s="257" t="e">
        <v>#REF!</v>
      </c>
      <c r="J991" s="257" t="e">
        <f t="shared" si="767"/>
        <v>#REF!</v>
      </c>
      <c r="K991" s="257" t="e">
        <f t="shared" si="765"/>
        <v>#REF!</v>
      </c>
      <c r="L991" s="257" t="e">
        <f t="shared" si="765"/>
        <v>#REF!</v>
      </c>
      <c r="M991" s="257" t="e">
        <f t="shared" si="769"/>
        <v>#REF!</v>
      </c>
      <c r="N991" s="257" t="e">
        <f t="shared" si="770"/>
        <v>#REF!</v>
      </c>
      <c r="O991" s="257" t="e">
        <f t="shared" si="768"/>
        <v>#REF!</v>
      </c>
    </row>
    <row r="992" spans="1:15" ht="25.5" hidden="1" customHeight="1" x14ac:dyDescent="0.2">
      <c r="A992" s="259" t="s">
        <v>99</v>
      </c>
      <c r="B992" s="271">
        <v>801</v>
      </c>
      <c r="C992" s="252" t="s">
        <v>205</v>
      </c>
      <c r="D992" s="252" t="s">
        <v>192</v>
      </c>
      <c r="E992" s="252" t="s">
        <v>5</v>
      </c>
      <c r="F992" s="252" t="s">
        <v>100</v>
      </c>
      <c r="G992" s="257" t="e">
        <v>#REF!</v>
      </c>
      <c r="H992" s="257" t="e">
        <v>#REF!</v>
      </c>
      <c r="I992" s="257" t="e">
        <v>#REF!</v>
      </c>
      <c r="J992" s="257" t="e">
        <f t="shared" si="767"/>
        <v>#REF!</v>
      </c>
      <c r="K992" s="257" t="e">
        <f t="shared" si="765"/>
        <v>#REF!</v>
      </c>
      <c r="L992" s="257" t="e">
        <f t="shared" si="765"/>
        <v>#REF!</v>
      </c>
      <c r="M992" s="257" t="e">
        <f t="shared" si="769"/>
        <v>#REF!</v>
      </c>
      <c r="N992" s="257" t="e">
        <f t="shared" si="770"/>
        <v>#REF!</v>
      </c>
      <c r="O992" s="257" t="e">
        <f t="shared" si="768"/>
        <v>#REF!</v>
      </c>
    </row>
    <row r="993" spans="1:15" ht="25.5" hidden="1" customHeight="1" x14ac:dyDescent="0.2">
      <c r="A993" s="259" t="s">
        <v>101</v>
      </c>
      <c r="B993" s="271">
        <v>801</v>
      </c>
      <c r="C993" s="252" t="s">
        <v>205</v>
      </c>
      <c r="D993" s="252" t="s">
        <v>192</v>
      </c>
      <c r="E993" s="252" t="s">
        <v>5</v>
      </c>
      <c r="F993" s="252" t="s">
        <v>102</v>
      </c>
      <c r="G993" s="257" t="e">
        <v>#REF!</v>
      </c>
      <c r="H993" s="257" t="e">
        <v>#REF!</v>
      </c>
      <c r="I993" s="257" t="e">
        <v>#REF!</v>
      </c>
      <c r="J993" s="257" t="e">
        <f t="shared" si="767"/>
        <v>#REF!</v>
      </c>
      <c r="K993" s="257" t="e">
        <f t="shared" si="765"/>
        <v>#REF!</v>
      </c>
      <c r="L993" s="257" t="e">
        <f t="shared" si="765"/>
        <v>#REF!</v>
      </c>
      <c r="M993" s="257" t="e">
        <f t="shared" si="769"/>
        <v>#REF!</v>
      </c>
      <c r="N993" s="257" t="e">
        <f t="shared" si="770"/>
        <v>#REF!</v>
      </c>
      <c r="O993" s="257" t="e">
        <f t="shared" si="768"/>
        <v>#REF!</v>
      </c>
    </row>
    <row r="994" spans="1:15" ht="25.5" hidden="1" customHeight="1" x14ac:dyDescent="0.2">
      <c r="A994" s="259" t="s">
        <v>93</v>
      </c>
      <c r="B994" s="271">
        <v>801</v>
      </c>
      <c r="C994" s="252" t="s">
        <v>205</v>
      </c>
      <c r="D994" s="252" t="s">
        <v>192</v>
      </c>
      <c r="E994" s="252" t="s">
        <v>5</v>
      </c>
      <c r="F994" s="252" t="s">
        <v>94</v>
      </c>
      <c r="G994" s="257" t="e">
        <v>#REF!</v>
      </c>
      <c r="H994" s="257" t="e">
        <v>#REF!</v>
      </c>
      <c r="I994" s="257" t="e">
        <v>#REF!</v>
      </c>
      <c r="J994" s="257" t="e">
        <f t="shared" si="767"/>
        <v>#REF!</v>
      </c>
      <c r="K994" s="257" t="e">
        <f t="shared" si="765"/>
        <v>#REF!</v>
      </c>
      <c r="L994" s="257" t="e">
        <f t="shared" si="765"/>
        <v>#REF!</v>
      </c>
      <c r="M994" s="257" t="e">
        <f t="shared" si="769"/>
        <v>#REF!</v>
      </c>
      <c r="N994" s="257" t="e">
        <f t="shared" si="770"/>
        <v>#REF!</v>
      </c>
      <c r="O994" s="257" t="e">
        <f t="shared" si="768"/>
        <v>#REF!</v>
      </c>
    </row>
    <row r="995" spans="1:15" ht="30" hidden="1" x14ac:dyDescent="0.2">
      <c r="A995" s="259" t="s">
        <v>76</v>
      </c>
      <c r="B995" s="271">
        <v>801</v>
      </c>
      <c r="C995" s="252" t="s">
        <v>205</v>
      </c>
      <c r="D995" s="252" t="s">
        <v>192</v>
      </c>
      <c r="E995" s="252" t="s">
        <v>5</v>
      </c>
      <c r="F995" s="252" t="s">
        <v>77</v>
      </c>
      <c r="G995" s="257" t="e">
        <v>#REF!</v>
      </c>
      <c r="H995" s="257" t="e">
        <v>#REF!</v>
      </c>
      <c r="I995" s="257" t="e">
        <v>#REF!</v>
      </c>
      <c r="J995" s="257" t="e">
        <f t="shared" si="767"/>
        <v>#REF!</v>
      </c>
      <c r="K995" s="257" t="e">
        <f t="shared" si="765"/>
        <v>#REF!</v>
      </c>
      <c r="L995" s="257" t="e">
        <f t="shared" si="765"/>
        <v>#REF!</v>
      </c>
      <c r="M995" s="257" t="e">
        <f t="shared" si="769"/>
        <v>#REF!</v>
      </c>
      <c r="N995" s="257" t="e">
        <f t="shared" si="770"/>
        <v>#REF!</v>
      </c>
      <c r="O995" s="257" t="e">
        <f t="shared" si="768"/>
        <v>#REF!</v>
      </c>
    </row>
    <row r="996" spans="1:15" ht="12.75" hidden="1" customHeight="1" x14ac:dyDescent="0.2">
      <c r="A996" s="259" t="s">
        <v>78</v>
      </c>
      <c r="B996" s="271">
        <v>801</v>
      </c>
      <c r="C996" s="252" t="s">
        <v>205</v>
      </c>
      <c r="D996" s="252" t="s">
        <v>192</v>
      </c>
      <c r="E996" s="252" t="s">
        <v>5</v>
      </c>
      <c r="F996" s="252" t="s">
        <v>79</v>
      </c>
      <c r="G996" s="257" t="e">
        <v>#REF!</v>
      </c>
      <c r="H996" s="257" t="e">
        <v>#REF!</v>
      </c>
      <c r="I996" s="257" t="e">
        <v>#REF!</v>
      </c>
      <c r="J996" s="257" t="e">
        <f t="shared" si="767"/>
        <v>#REF!</v>
      </c>
      <c r="K996" s="257" t="e">
        <f t="shared" si="765"/>
        <v>#REF!</v>
      </c>
      <c r="L996" s="257" t="e">
        <f t="shared" si="765"/>
        <v>#REF!</v>
      </c>
      <c r="M996" s="257" t="e">
        <f t="shared" si="769"/>
        <v>#REF!</v>
      </c>
      <c r="N996" s="257" t="e">
        <f t="shared" si="770"/>
        <v>#REF!</v>
      </c>
      <c r="O996" s="257" t="e">
        <f t="shared" si="768"/>
        <v>#REF!</v>
      </c>
    </row>
    <row r="997" spans="1:15" ht="12.75" hidden="1" customHeight="1" x14ac:dyDescent="0.2">
      <c r="A997" s="259" t="s">
        <v>103</v>
      </c>
      <c r="B997" s="271">
        <v>801</v>
      </c>
      <c r="C997" s="252" t="s">
        <v>205</v>
      </c>
      <c r="D997" s="252" t="s">
        <v>192</v>
      </c>
      <c r="E997" s="252" t="s">
        <v>5</v>
      </c>
      <c r="F997" s="252" t="s">
        <v>104</v>
      </c>
      <c r="G997" s="257" t="e">
        <v>#REF!</v>
      </c>
      <c r="H997" s="257" t="e">
        <v>#REF!</v>
      </c>
      <c r="I997" s="257" t="e">
        <v>#REF!</v>
      </c>
      <c r="J997" s="257" t="e">
        <f t="shared" si="767"/>
        <v>#REF!</v>
      </c>
      <c r="K997" s="257" t="e">
        <f t="shared" si="765"/>
        <v>#REF!</v>
      </c>
      <c r="L997" s="257" t="e">
        <f t="shared" si="765"/>
        <v>#REF!</v>
      </c>
      <c r="M997" s="257" t="e">
        <f t="shared" si="769"/>
        <v>#REF!</v>
      </c>
      <c r="N997" s="257" t="e">
        <f t="shared" si="770"/>
        <v>#REF!</v>
      </c>
      <c r="O997" s="257" t="e">
        <f t="shared" si="768"/>
        <v>#REF!</v>
      </c>
    </row>
    <row r="998" spans="1:15" ht="12.75" hidden="1" customHeight="1" x14ac:dyDescent="0.2">
      <c r="A998" s="259" t="s">
        <v>105</v>
      </c>
      <c r="B998" s="271">
        <v>801</v>
      </c>
      <c r="C998" s="252" t="s">
        <v>205</v>
      </c>
      <c r="D998" s="252" t="s">
        <v>192</v>
      </c>
      <c r="E998" s="252" t="s">
        <v>5</v>
      </c>
      <c r="F998" s="252" t="s">
        <v>106</v>
      </c>
      <c r="G998" s="257" t="e">
        <v>#REF!</v>
      </c>
      <c r="H998" s="257" t="e">
        <v>#REF!</v>
      </c>
      <c r="I998" s="257" t="e">
        <v>#REF!</v>
      </c>
      <c r="J998" s="257" t="e">
        <f t="shared" si="767"/>
        <v>#REF!</v>
      </c>
      <c r="K998" s="257" t="e">
        <f t="shared" si="765"/>
        <v>#REF!</v>
      </c>
      <c r="L998" s="257" t="e">
        <f t="shared" si="765"/>
        <v>#REF!</v>
      </c>
      <c r="M998" s="257" t="e">
        <f t="shared" si="769"/>
        <v>#REF!</v>
      </c>
      <c r="N998" s="257" t="e">
        <f t="shared" si="770"/>
        <v>#REF!</v>
      </c>
      <c r="O998" s="257" t="e">
        <f t="shared" si="768"/>
        <v>#REF!</v>
      </c>
    </row>
    <row r="999" spans="1:15" ht="12.75" hidden="1" customHeight="1" x14ac:dyDescent="0.2">
      <c r="A999" s="528" t="s">
        <v>149</v>
      </c>
      <c r="B999" s="526"/>
      <c r="C999" s="526"/>
      <c r="D999" s="526"/>
      <c r="E999" s="526"/>
      <c r="F999" s="526"/>
      <c r="G999" s="257" t="e">
        <v>#REF!</v>
      </c>
      <c r="H999" s="257" t="e">
        <v>#REF!</v>
      </c>
      <c r="I999" s="257" t="e">
        <v>#REF!</v>
      </c>
      <c r="J999" s="257" t="e">
        <f t="shared" si="767"/>
        <v>#REF!</v>
      </c>
      <c r="K999" s="257" t="e">
        <f t="shared" si="765"/>
        <v>#REF!</v>
      </c>
      <c r="L999" s="257" t="e">
        <f t="shared" si="765"/>
        <v>#REF!</v>
      </c>
      <c r="M999" s="257" t="e">
        <f t="shared" si="769"/>
        <v>#REF!</v>
      </c>
      <c r="N999" s="257" t="e">
        <f t="shared" si="770"/>
        <v>#REF!</v>
      </c>
      <c r="O999" s="257" t="e">
        <f t="shared" si="768"/>
        <v>#REF!</v>
      </c>
    </row>
    <row r="1000" spans="1:15" hidden="1" x14ac:dyDescent="0.2">
      <c r="A1000" s="259" t="s">
        <v>404</v>
      </c>
      <c r="B1000" s="271">
        <v>801</v>
      </c>
      <c r="C1000" s="252" t="s">
        <v>205</v>
      </c>
      <c r="D1000" s="252" t="s">
        <v>192</v>
      </c>
      <c r="E1000" s="252" t="s">
        <v>62</v>
      </c>
      <c r="F1000" s="252"/>
      <c r="G1000" s="257" t="e">
        <v>#REF!</v>
      </c>
      <c r="H1000" s="257" t="e">
        <v>#REF!</v>
      </c>
      <c r="I1000" s="257" t="e">
        <v>#REF!</v>
      </c>
      <c r="J1000" s="257" t="e">
        <f t="shared" si="767"/>
        <v>#REF!</v>
      </c>
      <c r="K1000" s="257" t="e">
        <f t="shared" si="765"/>
        <v>#REF!</v>
      </c>
      <c r="L1000" s="257" t="e">
        <f t="shared" si="765"/>
        <v>#REF!</v>
      </c>
      <c r="M1000" s="257" t="e">
        <f t="shared" si="769"/>
        <v>#REF!</v>
      </c>
      <c r="N1000" s="257" t="e">
        <f t="shared" si="770"/>
        <v>#REF!</v>
      </c>
      <c r="O1000" s="257" t="e">
        <f t="shared" si="768"/>
        <v>#REF!</v>
      </c>
    </row>
    <row r="1001" spans="1:15" hidden="1" x14ac:dyDescent="0.2">
      <c r="A1001" s="259" t="s">
        <v>547</v>
      </c>
      <c r="B1001" s="271">
        <v>801</v>
      </c>
      <c r="C1001" s="252" t="s">
        <v>205</v>
      </c>
      <c r="D1001" s="252" t="s">
        <v>192</v>
      </c>
      <c r="E1001" s="252" t="s">
        <v>173</v>
      </c>
      <c r="F1001" s="252"/>
      <c r="G1001" s="257" t="e">
        <v>#REF!</v>
      </c>
      <c r="H1001" s="257" t="e">
        <v>#REF!</v>
      </c>
      <c r="I1001" s="257" t="e">
        <v>#REF!</v>
      </c>
      <c r="J1001" s="257" t="e">
        <f t="shared" si="767"/>
        <v>#REF!</v>
      </c>
      <c r="K1001" s="257" t="e">
        <f t="shared" si="765"/>
        <v>#REF!</v>
      </c>
      <c r="L1001" s="257" t="e">
        <f t="shared" si="765"/>
        <v>#REF!</v>
      </c>
      <c r="M1001" s="257" t="e">
        <f t="shared" si="769"/>
        <v>#REF!</v>
      </c>
      <c r="N1001" s="257" t="e">
        <f t="shared" si="770"/>
        <v>#REF!</v>
      </c>
      <c r="O1001" s="257" t="e">
        <f t="shared" si="768"/>
        <v>#REF!</v>
      </c>
    </row>
    <row r="1002" spans="1:15" hidden="1" x14ac:dyDescent="0.2">
      <c r="A1002" s="259" t="s">
        <v>93</v>
      </c>
      <c r="B1002" s="271">
        <v>801</v>
      </c>
      <c r="C1002" s="252" t="s">
        <v>205</v>
      </c>
      <c r="D1002" s="252" t="s">
        <v>192</v>
      </c>
      <c r="E1002" s="252" t="s">
        <v>173</v>
      </c>
      <c r="F1002" s="252" t="s">
        <v>94</v>
      </c>
      <c r="G1002" s="257" t="e">
        <v>#REF!</v>
      </c>
      <c r="H1002" s="257" t="e">
        <v>#REF!</v>
      </c>
      <c r="I1002" s="257" t="e">
        <v>#REF!</v>
      </c>
      <c r="J1002" s="257" t="e">
        <f t="shared" si="767"/>
        <v>#REF!</v>
      </c>
      <c r="K1002" s="257" t="e">
        <f t="shared" si="765"/>
        <v>#REF!</v>
      </c>
      <c r="L1002" s="257" t="e">
        <f t="shared" si="765"/>
        <v>#REF!</v>
      </c>
      <c r="M1002" s="257" t="e">
        <f t="shared" ref="M1002:M1003" si="771">L1002+L1002</f>
        <v>#REF!</v>
      </c>
      <c r="N1002" s="257" t="e">
        <f t="shared" ref="N1002:N1007" si="772">L1002+M1002</f>
        <v>#REF!</v>
      </c>
      <c r="O1002" s="257" t="e">
        <f t="shared" si="768"/>
        <v>#REF!</v>
      </c>
    </row>
    <row r="1003" spans="1:15" ht="21" hidden="1" customHeight="1" x14ac:dyDescent="0.2">
      <c r="A1003" s="259" t="s">
        <v>421</v>
      </c>
      <c r="B1003" s="271">
        <v>801</v>
      </c>
      <c r="C1003" s="252" t="s">
        <v>205</v>
      </c>
      <c r="D1003" s="252" t="s">
        <v>192</v>
      </c>
      <c r="E1003" s="252" t="s">
        <v>429</v>
      </c>
      <c r="F1003" s="252"/>
      <c r="G1003" s="257" t="e">
        <v>#REF!</v>
      </c>
      <c r="H1003" s="257" t="e">
        <v>#REF!</v>
      </c>
      <c r="I1003" s="257" t="e">
        <v>#REF!</v>
      </c>
      <c r="J1003" s="257" t="e">
        <f t="shared" si="767"/>
        <v>#REF!</v>
      </c>
      <c r="K1003" s="257" t="e">
        <f t="shared" si="765"/>
        <v>#REF!</v>
      </c>
      <c r="L1003" s="257" t="e">
        <f t="shared" si="765"/>
        <v>#REF!</v>
      </c>
      <c r="M1003" s="257" t="e">
        <f t="shared" si="771"/>
        <v>#REF!</v>
      </c>
      <c r="N1003" s="257" t="e">
        <f t="shared" si="772"/>
        <v>#REF!</v>
      </c>
      <c r="O1003" s="257" t="e">
        <f t="shared" si="768"/>
        <v>#REF!</v>
      </c>
    </row>
    <row r="1004" spans="1:15" ht="30" customHeight="1" x14ac:dyDescent="0.2">
      <c r="A1004" s="259" t="s">
        <v>76</v>
      </c>
      <c r="B1004" s="271">
        <v>801</v>
      </c>
      <c r="C1004" s="252" t="s">
        <v>205</v>
      </c>
      <c r="D1004" s="252" t="s">
        <v>192</v>
      </c>
      <c r="E1004" s="252" t="s">
        <v>786</v>
      </c>
      <c r="F1004" s="252" t="s">
        <v>77</v>
      </c>
      <c r="G1004" s="257">
        <v>2508</v>
      </c>
      <c r="H1004" s="257">
        <v>376</v>
      </c>
      <c r="I1004" s="257">
        <v>2508</v>
      </c>
      <c r="J1004" s="257">
        <v>956</v>
      </c>
      <c r="K1004" s="257">
        <f t="shared" si="765"/>
        <v>3464</v>
      </c>
      <c r="L1004" s="257">
        <v>3464</v>
      </c>
      <c r="M1004" s="257">
        <v>0</v>
      </c>
      <c r="N1004" s="257">
        <f t="shared" si="772"/>
        <v>3464</v>
      </c>
      <c r="O1004" s="257">
        <v>3464</v>
      </c>
    </row>
    <row r="1005" spans="1:15" ht="30" hidden="1" customHeight="1" x14ac:dyDescent="0.2">
      <c r="A1005" s="259" t="s">
        <v>76</v>
      </c>
      <c r="B1005" s="271">
        <v>801</v>
      </c>
      <c r="C1005" s="252" t="s">
        <v>205</v>
      </c>
      <c r="D1005" s="252" t="s">
        <v>192</v>
      </c>
      <c r="E1005" s="252" t="s">
        <v>1102</v>
      </c>
      <c r="F1005" s="252" t="s">
        <v>77</v>
      </c>
      <c r="G1005" s="257">
        <v>580</v>
      </c>
      <c r="H1005" s="257">
        <v>0</v>
      </c>
      <c r="I1005" s="257">
        <v>0</v>
      </c>
      <c r="J1005" s="257">
        <v>0</v>
      </c>
      <c r="K1005" s="257">
        <f t="shared" si="765"/>
        <v>0</v>
      </c>
      <c r="L1005" s="257">
        <v>0</v>
      </c>
      <c r="M1005" s="257">
        <v>0</v>
      </c>
      <c r="N1005" s="257">
        <f t="shared" si="772"/>
        <v>0</v>
      </c>
      <c r="O1005" s="257">
        <v>0</v>
      </c>
    </row>
    <row r="1006" spans="1:15" ht="34.5" customHeight="1" x14ac:dyDescent="0.2">
      <c r="A1006" s="259" t="s">
        <v>76</v>
      </c>
      <c r="B1006" s="271">
        <v>801</v>
      </c>
      <c r="C1006" s="252" t="s">
        <v>205</v>
      </c>
      <c r="D1006" s="252" t="s">
        <v>192</v>
      </c>
      <c r="E1006" s="252" t="s">
        <v>1103</v>
      </c>
      <c r="F1006" s="252" t="s">
        <v>77</v>
      </c>
      <c r="G1006" s="257">
        <v>1910</v>
      </c>
      <c r="H1006" s="257">
        <v>-927</v>
      </c>
      <c r="I1006" s="257">
        <v>1910</v>
      </c>
      <c r="J1006" s="257">
        <v>0</v>
      </c>
      <c r="K1006" s="257">
        <f t="shared" si="765"/>
        <v>1910</v>
      </c>
      <c r="L1006" s="257">
        <v>1910</v>
      </c>
      <c r="M1006" s="257">
        <v>0</v>
      </c>
      <c r="N1006" s="257">
        <f t="shared" si="772"/>
        <v>1910</v>
      </c>
      <c r="O1006" s="257">
        <v>1910</v>
      </c>
    </row>
    <row r="1007" spans="1:15" x14ac:dyDescent="0.2">
      <c r="A1007" s="259" t="s">
        <v>290</v>
      </c>
      <c r="B1007" s="252"/>
      <c r="C1007" s="252" t="s">
        <v>291</v>
      </c>
      <c r="D1007" s="252" t="s">
        <v>291</v>
      </c>
      <c r="E1007" s="252" t="s">
        <v>968</v>
      </c>
      <c r="F1007" s="252" t="s">
        <v>266</v>
      </c>
      <c r="G1007" s="257">
        <v>6891.37</v>
      </c>
      <c r="H1007" s="257">
        <v>-6891.37</v>
      </c>
      <c r="I1007" s="257">
        <v>14405.145</v>
      </c>
      <c r="J1007" s="257">
        <v>-7012.437750000001</v>
      </c>
      <c r="K1007" s="257">
        <f t="shared" si="765"/>
        <v>7392.7072499999995</v>
      </c>
      <c r="L1007" s="257">
        <v>16916.793999999998</v>
      </c>
      <c r="M1007" s="257">
        <v>-8299.9069999999992</v>
      </c>
      <c r="N1007" s="257">
        <f t="shared" si="772"/>
        <v>8616.8869999999988</v>
      </c>
      <c r="O1007" s="257">
        <v>17297.685999999998</v>
      </c>
    </row>
    <row r="1008" spans="1:15" s="433" customFormat="1" ht="15.75" x14ac:dyDescent="0.2">
      <c r="A1008" s="450" t="s">
        <v>267</v>
      </c>
      <c r="B1008" s="451"/>
      <c r="C1008" s="452"/>
      <c r="D1008" s="452"/>
      <c r="E1008" s="452"/>
      <c r="F1008" s="452"/>
      <c r="G1008" s="447" t="e">
        <v>#REF!</v>
      </c>
      <c r="H1008" s="447">
        <v>147275.45718699999</v>
      </c>
      <c r="I1008" s="447">
        <v>525090.22400000005</v>
      </c>
      <c r="J1008" s="447" t="e">
        <f>J10+J96+J314+J436+J488+J1007</f>
        <v>#REF!</v>
      </c>
      <c r="K1008" s="447">
        <f>L10+L96+L314+L436+L488+L1007</f>
        <v>737435.08</v>
      </c>
      <c r="L1008" s="447">
        <f>L10+L96+L314+L436+L488+L1007</f>
        <v>737435.08</v>
      </c>
      <c r="M1008" s="447">
        <f>M10+M96+M314+M436+M488+M1007</f>
        <v>-15097.904256000071</v>
      </c>
      <c r="N1008" s="447">
        <f>N10+N96+N314+N436+N488+N1007</f>
        <v>722337.17574399989</v>
      </c>
      <c r="O1008" s="447">
        <f>O10+O96+O314+O436+O488+O1007</f>
        <v>768671.91600000008</v>
      </c>
    </row>
    <row r="1009" spans="1:12" ht="12.75" hidden="1" customHeight="1" x14ac:dyDescent="0.2"/>
    <row r="1010" spans="1:12" s="434" customFormat="1" ht="12.75" hidden="1" customHeight="1" x14ac:dyDescent="0.2">
      <c r="A1010" s="22"/>
      <c r="B1010" s="23"/>
      <c r="C1010" s="23"/>
      <c r="D1010" s="23"/>
      <c r="E1010" s="23"/>
      <c r="F1010" s="23"/>
      <c r="G1010" s="383"/>
      <c r="H1010" s="383"/>
      <c r="I1010" s="383"/>
      <c r="J1010" s="429"/>
      <c r="K1010" s="429"/>
      <c r="L1010" s="429"/>
    </row>
    <row r="1011" spans="1:12" s="434" customFormat="1" ht="12.75" hidden="1" customHeight="1" x14ac:dyDescent="0.2">
      <c r="A1011" s="22"/>
      <c r="B1011" s="23"/>
      <c r="C1011" s="23"/>
      <c r="D1011" s="23"/>
      <c r="E1011" s="23"/>
      <c r="F1011" s="23"/>
      <c r="G1011" s="383"/>
      <c r="H1011" s="383"/>
      <c r="I1011" s="383"/>
      <c r="J1011" s="429"/>
      <c r="K1011" s="429"/>
      <c r="L1011" s="429"/>
    </row>
    <row r="1012" spans="1:12" s="434" customFormat="1" ht="12.75" hidden="1" customHeight="1" x14ac:dyDescent="0.2">
      <c r="A1012" s="22"/>
      <c r="B1012" s="23"/>
      <c r="C1012" s="23"/>
      <c r="D1012" s="23"/>
      <c r="E1012" s="23"/>
      <c r="F1012" s="23"/>
      <c r="G1012" s="383"/>
      <c r="H1012" s="383"/>
      <c r="I1012" s="383"/>
      <c r="J1012" s="429"/>
      <c r="K1012" s="429"/>
      <c r="L1012" s="429"/>
    </row>
    <row r="1013" spans="1:12" s="435" customFormat="1" ht="12.75" hidden="1" customHeight="1" x14ac:dyDescent="0.2">
      <c r="A1013" s="24"/>
      <c r="B1013" s="25"/>
      <c r="C1013" s="25"/>
      <c r="D1013" s="25"/>
      <c r="E1013" s="25"/>
      <c r="F1013" s="25"/>
      <c r="G1013" s="384"/>
      <c r="H1013" s="384"/>
      <c r="I1013" s="384"/>
      <c r="J1013" s="427"/>
      <c r="K1013" s="427"/>
      <c r="L1013" s="427"/>
    </row>
    <row r="1014" spans="1:12" s="435" customFormat="1" ht="12.75" hidden="1" customHeight="1" x14ac:dyDescent="0.2">
      <c r="A1014" s="24"/>
      <c r="B1014" s="527"/>
      <c r="C1014" s="26"/>
      <c r="D1014" s="26"/>
      <c r="E1014" s="26"/>
      <c r="F1014" s="26"/>
      <c r="G1014" s="384"/>
      <c r="H1014" s="384"/>
      <c r="I1014" s="384"/>
      <c r="J1014" s="427"/>
      <c r="K1014" s="427"/>
      <c r="L1014" s="427"/>
    </row>
    <row r="1015" spans="1:12" s="435" customFormat="1" ht="12.75" hidden="1" customHeight="1" x14ac:dyDescent="0.2">
      <c r="A1015" s="24"/>
      <c r="B1015" s="527"/>
      <c r="C1015" s="26"/>
      <c r="D1015" s="26"/>
      <c r="E1015" s="26"/>
      <c r="F1015" s="26"/>
      <c r="G1015" s="384"/>
      <c r="H1015" s="384"/>
      <c r="I1015" s="384"/>
      <c r="J1015" s="427"/>
      <c r="K1015" s="427"/>
      <c r="L1015" s="427"/>
    </row>
    <row r="1016" spans="1:12" s="435" customFormat="1" ht="12.75" hidden="1" customHeight="1" x14ac:dyDescent="0.2">
      <c r="A1016" s="24"/>
      <c r="B1016" s="527"/>
      <c r="C1016" s="26"/>
      <c r="D1016" s="26"/>
      <c r="E1016" s="26"/>
      <c r="F1016" s="26"/>
      <c r="G1016" s="384"/>
      <c r="H1016" s="384"/>
      <c r="I1016" s="384"/>
      <c r="J1016" s="427"/>
      <c r="K1016" s="427"/>
      <c r="L1016" s="427"/>
    </row>
    <row r="1017" spans="1:12" s="435" customFormat="1" ht="12.75" hidden="1" customHeight="1" x14ac:dyDescent="0.2">
      <c r="A1017" s="24"/>
      <c r="B1017" s="527"/>
      <c r="C1017" s="29"/>
      <c r="D1017" s="29"/>
      <c r="E1017" s="26"/>
      <c r="F1017" s="26"/>
      <c r="G1017" s="384"/>
      <c r="H1017" s="384"/>
      <c r="I1017" s="384"/>
      <c r="J1017" s="427"/>
      <c r="K1017" s="427"/>
      <c r="L1017" s="427"/>
    </row>
    <row r="1018" spans="1:12" s="435" customFormat="1" ht="12.75" hidden="1" customHeight="1" x14ac:dyDescent="0.2">
      <c r="A1018" s="24"/>
      <c r="B1018" s="527"/>
      <c r="C1018" s="29"/>
      <c r="D1018" s="29"/>
      <c r="E1018" s="26"/>
      <c r="F1018" s="26"/>
      <c r="G1018" s="384"/>
      <c r="H1018" s="384"/>
      <c r="I1018" s="384"/>
      <c r="J1018" s="427"/>
      <c r="K1018" s="427"/>
      <c r="L1018" s="427"/>
    </row>
    <row r="1019" spans="1:12" s="435" customFormat="1" ht="12.75" hidden="1" customHeight="1" x14ac:dyDescent="0.2">
      <c r="A1019" s="24"/>
      <c r="B1019" s="527"/>
      <c r="C1019" s="27"/>
      <c r="D1019" s="27"/>
      <c r="E1019" s="26"/>
      <c r="F1019" s="26"/>
      <c r="G1019" s="384"/>
      <c r="H1019" s="384"/>
      <c r="I1019" s="384"/>
      <c r="J1019" s="427"/>
      <c r="K1019" s="427"/>
      <c r="L1019" s="427"/>
    </row>
    <row r="1020" spans="1:12" s="435" customFormat="1" ht="12.75" hidden="1" customHeight="1" x14ac:dyDescent="0.2">
      <c r="A1020" s="24"/>
      <c r="B1020" s="527"/>
      <c r="C1020" s="27"/>
      <c r="D1020" s="27"/>
      <c r="E1020" s="26"/>
      <c r="F1020" s="26"/>
      <c r="G1020" s="384"/>
      <c r="H1020" s="384"/>
      <c r="I1020" s="384"/>
      <c r="J1020" s="427"/>
      <c r="K1020" s="427"/>
      <c r="L1020" s="427"/>
    </row>
    <row r="1021" spans="1:12" ht="12.75" hidden="1" customHeight="1" x14ac:dyDescent="0.2">
      <c r="B1021" s="27"/>
      <c r="C1021" s="28"/>
      <c r="D1021" s="28"/>
      <c r="E1021" s="27"/>
      <c r="F1021" s="27"/>
    </row>
    <row r="1022" spans="1:12" ht="12.75" hidden="1" customHeight="1" x14ac:dyDescent="0.2">
      <c r="B1022" s="527"/>
      <c r="C1022" s="26"/>
      <c r="D1022" s="26"/>
      <c r="E1022" s="27"/>
      <c r="F1022" s="27"/>
    </row>
    <row r="1023" spans="1:12" ht="12.75" hidden="1" customHeight="1" x14ac:dyDescent="0.2">
      <c r="B1023" s="527"/>
      <c r="C1023" s="26"/>
      <c r="D1023" s="26"/>
      <c r="E1023" s="27"/>
      <c r="F1023" s="27"/>
    </row>
    <row r="1024" spans="1:12" ht="12.75" hidden="1" customHeight="1" x14ac:dyDescent="0.2">
      <c r="B1024" s="527"/>
      <c r="C1024" s="26"/>
      <c r="D1024" s="26"/>
      <c r="E1024" s="27"/>
      <c r="F1024" s="27"/>
    </row>
    <row r="1025" spans="1:6" ht="12.75" hidden="1" customHeight="1" x14ac:dyDescent="0.2">
      <c r="B1025" s="527"/>
      <c r="C1025" s="26"/>
      <c r="D1025" s="27"/>
      <c r="E1025" s="27"/>
      <c r="F1025" s="27"/>
    </row>
    <row r="1026" spans="1:6" ht="12.75" hidden="1" customHeight="1" x14ac:dyDescent="0.2">
      <c r="B1026" s="527"/>
      <c r="C1026" s="29"/>
      <c r="D1026" s="26"/>
      <c r="E1026" s="27"/>
      <c r="F1026" s="27"/>
    </row>
    <row r="1027" spans="1:6" ht="12.75" hidden="1" customHeight="1" x14ac:dyDescent="0.2">
      <c r="B1027" s="527"/>
      <c r="C1027" s="27"/>
      <c r="D1027" s="29"/>
      <c r="E1027" s="27"/>
      <c r="F1027" s="27"/>
    </row>
    <row r="1028" spans="1:6" ht="12.75" hidden="1" customHeight="1" x14ac:dyDescent="0.2">
      <c r="A1028" s="16"/>
      <c r="B1028" s="527"/>
      <c r="C1028" s="29"/>
      <c r="D1028" s="27"/>
      <c r="E1028" s="27"/>
      <c r="F1028" s="27"/>
    </row>
    <row r="1029" spans="1:6" ht="12.75" hidden="1" customHeight="1" x14ac:dyDescent="0.2">
      <c r="A1029" s="16"/>
      <c r="B1029" s="527"/>
      <c r="C1029" s="27"/>
      <c r="D1029" s="28"/>
      <c r="E1029" s="27"/>
      <c r="F1029" s="27"/>
    </row>
    <row r="1030" spans="1:6" ht="12.75" hidden="1" customHeight="1" x14ac:dyDescent="0.2">
      <c r="A1030" s="16"/>
    </row>
    <row r="1031" spans="1:6" ht="12.75" hidden="1" customHeight="1" x14ac:dyDescent="0.2">
      <c r="A1031" s="16"/>
    </row>
    <row r="1032" spans="1:6" ht="12.75" hidden="1" customHeight="1" x14ac:dyDescent="0.2">
      <c r="A1032" s="16"/>
    </row>
    <row r="1033" spans="1:6" ht="12.75" hidden="1" customHeight="1" x14ac:dyDescent="0.2">
      <c r="A1033" s="16"/>
    </row>
    <row r="1034" spans="1:6" ht="12.75" hidden="1" customHeight="1" x14ac:dyDescent="0.2">
      <c r="A1034" s="16"/>
    </row>
    <row r="1035" spans="1:6" ht="12.75" hidden="1" customHeight="1" x14ac:dyDescent="0.2">
      <c r="A1035" s="16"/>
    </row>
    <row r="1036" spans="1:6" ht="12.75" hidden="1" customHeight="1" x14ac:dyDescent="0.2">
      <c r="A1036" s="16"/>
    </row>
    <row r="1037" spans="1:6" ht="12.75" hidden="1" customHeight="1" x14ac:dyDescent="0.2">
      <c r="A1037" s="16"/>
    </row>
    <row r="1038" spans="1:6" ht="12.75" hidden="1" customHeight="1" x14ac:dyDescent="0.2">
      <c r="A1038" s="16"/>
    </row>
    <row r="1039" spans="1:6" hidden="1" x14ac:dyDescent="0.2"/>
    <row r="1040" spans="1:6" hidden="1" x14ac:dyDescent="0.2"/>
    <row r="1041" spans="1:6" hidden="1" x14ac:dyDescent="0.2"/>
    <row r="1042" spans="1:6" hidden="1" x14ac:dyDescent="0.2"/>
    <row r="1043" spans="1:6" hidden="1" x14ac:dyDescent="0.2">
      <c r="A1043" s="16"/>
      <c r="C1043" s="463"/>
      <c r="D1043" s="463"/>
      <c r="E1043" s="463"/>
      <c r="F1043" s="463"/>
    </row>
    <row r="1044" spans="1:6" hidden="1" x14ac:dyDescent="0.2">
      <c r="A1044" s="16"/>
      <c r="C1044" s="463"/>
      <c r="D1044" s="463"/>
      <c r="E1044" s="463"/>
      <c r="F1044" s="463"/>
    </row>
    <row r="1045" spans="1:6" hidden="1" x14ac:dyDescent="0.2">
      <c r="A1045" s="16"/>
      <c r="C1045" s="463"/>
      <c r="D1045" s="463"/>
      <c r="E1045" s="463"/>
      <c r="F1045" s="463"/>
    </row>
    <row r="1046" spans="1:6" hidden="1" x14ac:dyDescent="0.2">
      <c r="A1046" s="16"/>
      <c r="C1046" s="463"/>
      <c r="D1046" s="463"/>
      <c r="E1046" s="463"/>
      <c r="F1046" s="463"/>
    </row>
    <row r="1047" spans="1:6" hidden="1" x14ac:dyDescent="0.2">
      <c r="A1047" s="16"/>
      <c r="C1047" s="463"/>
      <c r="D1047" s="463"/>
      <c r="E1047" s="463"/>
      <c r="F1047" s="463"/>
    </row>
    <row r="1048" spans="1:6" hidden="1" x14ac:dyDescent="0.2"/>
    <row r="1049" spans="1:6" hidden="1" x14ac:dyDescent="0.2"/>
    <row r="1050" spans="1:6" hidden="1" x14ac:dyDescent="0.2"/>
    <row r="1051" spans="1:6" hidden="1" x14ac:dyDescent="0.2"/>
    <row r="1052" spans="1:6" hidden="1" x14ac:dyDescent="0.2">
      <c r="A1052" s="16"/>
      <c r="C1052" s="463"/>
      <c r="D1052" s="463"/>
      <c r="E1052" s="463"/>
      <c r="F1052" s="463"/>
    </row>
    <row r="1053" spans="1:6" hidden="1" x14ac:dyDescent="0.2">
      <c r="A1053" s="16"/>
      <c r="C1053" s="463"/>
      <c r="D1053" s="463"/>
      <c r="E1053" s="463"/>
      <c r="F1053" s="463"/>
    </row>
    <row r="1054" spans="1:6" hidden="1" x14ac:dyDescent="0.2">
      <c r="A1054" s="16"/>
      <c r="C1054" s="463"/>
      <c r="D1054" s="463"/>
      <c r="E1054" s="463"/>
      <c r="F1054" s="463"/>
    </row>
    <row r="1055" spans="1:6" hidden="1" x14ac:dyDescent="0.2">
      <c r="A1055" s="16"/>
      <c r="C1055" s="463"/>
      <c r="D1055" s="463"/>
      <c r="E1055" s="463"/>
      <c r="F1055" s="463"/>
    </row>
    <row r="1056" spans="1:6" hidden="1" x14ac:dyDescent="0.2"/>
    <row r="1057" spans="1:6" hidden="1" x14ac:dyDescent="0.2"/>
    <row r="1058" spans="1:6" hidden="1" x14ac:dyDescent="0.2"/>
    <row r="1059" spans="1:6" hidden="1" x14ac:dyDescent="0.2"/>
    <row r="1060" spans="1:6" hidden="1" x14ac:dyDescent="0.2">
      <c r="A1060" s="16"/>
      <c r="B1060" s="16"/>
      <c r="C1060" s="16"/>
      <c r="D1060" s="16"/>
      <c r="E1060" s="16"/>
      <c r="F1060" s="16"/>
    </row>
    <row r="1061" spans="1:6" hidden="1" x14ac:dyDescent="0.2">
      <c r="A1061" s="16"/>
      <c r="B1061" s="16"/>
      <c r="C1061" s="16"/>
      <c r="D1061" s="16"/>
      <c r="E1061" s="16"/>
      <c r="F1061" s="16"/>
    </row>
    <row r="1062" spans="1:6" hidden="1" x14ac:dyDescent="0.2">
      <c r="A1062" s="16"/>
      <c r="B1062" s="16"/>
      <c r="C1062" s="16"/>
      <c r="D1062" s="16"/>
      <c r="E1062" s="16"/>
      <c r="F1062" s="16"/>
    </row>
    <row r="1063" spans="1:6" hidden="1" x14ac:dyDescent="0.2">
      <c r="A1063" s="16"/>
      <c r="B1063" s="16"/>
      <c r="C1063" s="16"/>
      <c r="D1063" s="16"/>
      <c r="E1063" s="16"/>
      <c r="F1063" s="16"/>
    </row>
    <row r="1064" spans="1:6" hidden="1" x14ac:dyDescent="0.2">
      <c r="A1064" s="16"/>
      <c r="B1064" s="16"/>
      <c r="C1064" s="16"/>
      <c r="D1064" s="16"/>
      <c r="E1064" s="16"/>
      <c r="F1064" s="16"/>
    </row>
    <row r="1065" spans="1:6" hidden="1" x14ac:dyDescent="0.2">
      <c r="A1065" s="16"/>
      <c r="B1065" s="16"/>
      <c r="C1065" s="16"/>
      <c r="D1065" s="16"/>
      <c r="E1065" s="16"/>
      <c r="F1065" s="16"/>
    </row>
    <row r="1066" spans="1:6" hidden="1" x14ac:dyDescent="0.2">
      <c r="A1066" s="16"/>
      <c r="B1066" s="16"/>
      <c r="C1066" s="16"/>
      <c r="D1066" s="16"/>
      <c r="E1066" s="16"/>
      <c r="F1066" s="16"/>
    </row>
    <row r="1067" spans="1:6" hidden="1" x14ac:dyDescent="0.2">
      <c r="A1067" s="16"/>
      <c r="B1067" s="16"/>
      <c r="C1067" s="16"/>
      <c r="D1067" s="16"/>
      <c r="E1067" s="16"/>
      <c r="F1067" s="16"/>
    </row>
    <row r="1068" spans="1:6" hidden="1" x14ac:dyDescent="0.2">
      <c r="A1068" s="16"/>
      <c r="B1068" s="16"/>
      <c r="C1068" s="16"/>
      <c r="D1068" s="16"/>
      <c r="E1068" s="16"/>
      <c r="F1068" s="16"/>
    </row>
    <row r="1069" spans="1:6" hidden="1" x14ac:dyDescent="0.2">
      <c r="A1069" s="16"/>
      <c r="B1069" s="16"/>
      <c r="C1069" s="16"/>
      <c r="D1069" s="16"/>
      <c r="E1069" s="16"/>
      <c r="F1069" s="16"/>
    </row>
    <row r="1070" spans="1:6" hidden="1" x14ac:dyDescent="0.2">
      <c r="A1070" s="16"/>
      <c r="B1070" s="16"/>
      <c r="C1070" s="16"/>
      <c r="D1070" s="16"/>
      <c r="E1070" s="16"/>
      <c r="F1070" s="16"/>
    </row>
    <row r="1071" spans="1:6" hidden="1" x14ac:dyDescent="0.2">
      <c r="A1071" s="16"/>
      <c r="B1071" s="16"/>
      <c r="C1071" s="16"/>
      <c r="D1071" s="16"/>
      <c r="E1071" s="16"/>
      <c r="F1071" s="16"/>
    </row>
    <row r="1072" spans="1:6" hidden="1" x14ac:dyDescent="0.2">
      <c r="A1072" s="16"/>
      <c r="B1072" s="16"/>
      <c r="C1072" s="16"/>
      <c r="D1072" s="16"/>
      <c r="E1072" s="16"/>
      <c r="F1072" s="16"/>
    </row>
  </sheetData>
  <mergeCells count="24">
    <mergeCell ref="M2:O2"/>
    <mergeCell ref="A4:O4"/>
    <mergeCell ref="A5:O5"/>
    <mergeCell ref="K1:L1"/>
    <mergeCell ref="B1022:B1029"/>
    <mergeCell ref="E1:F1"/>
    <mergeCell ref="H1:I1"/>
    <mergeCell ref="H2:I2"/>
    <mergeCell ref="A952:F952"/>
    <mergeCell ref="A966:F966"/>
    <mergeCell ref="A973:E973"/>
    <mergeCell ref="A999:F999"/>
    <mergeCell ref="B1014:B1020"/>
    <mergeCell ref="A845:F845"/>
    <mergeCell ref="A891:F891"/>
    <mergeCell ref="A900:F900"/>
    <mergeCell ref="A938:F938"/>
    <mergeCell ref="A10:F10"/>
    <mergeCell ref="J2:L2"/>
    <mergeCell ref="A6:F6"/>
    <mergeCell ref="A96:F96"/>
    <mergeCell ref="A314:F314"/>
    <mergeCell ref="A436:F436"/>
    <mergeCell ref="A488:F488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="110" zoomScaleNormal="100" zoomScaleSheetLayoutView="110" workbookViewId="0">
      <selection activeCell="B25" sqref="B25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67" t="s">
        <v>718</v>
      </c>
      <c r="L1" s="567"/>
      <c r="O1" s="567" t="s">
        <v>957</v>
      </c>
      <c r="P1" s="567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8" t="s">
        <v>1218</v>
      </c>
      <c r="L2" s="568"/>
      <c r="O2" s="471" t="s">
        <v>446</v>
      </c>
      <c r="P2" s="471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9" t="s">
        <v>1231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287"/>
      <c r="N4" s="287"/>
      <c r="O4" s="287"/>
      <c r="P4" s="287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5"/>
      <c r="D6" s="175"/>
      <c r="E6" s="175"/>
      <c r="F6" s="175"/>
      <c r="G6" s="175"/>
      <c r="H6" s="77"/>
      <c r="L6" s="77" t="s">
        <v>549</v>
      </c>
      <c r="P6" s="176" t="s">
        <v>549</v>
      </c>
    </row>
    <row r="7" spans="1:17" s="238" customFormat="1" ht="31.7" customHeight="1" x14ac:dyDescent="0.2">
      <c r="A7" s="563" t="s">
        <v>567</v>
      </c>
      <c r="B7" s="563" t="s">
        <v>568</v>
      </c>
      <c r="C7" s="325">
        <v>2008</v>
      </c>
      <c r="D7" s="325">
        <v>2010</v>
      </c>
      <c r="E7" s="325">
        <v>2010</v>
      </c>
      <c r="F7" s="325" t="s">
        <v>569</v>
      </c>
      <c r="G7" s="325" t="s">
        <v>570</v>
      </c>
      <c r="H7" s="326">
        <v>2011</v>
      </c>
      <c r="I7" s="564" t="s">
        <v>1172</v>
      </c>
      <c r="J7" s="565"/>
      <c r="K7" s="565"/>
      <c r="L7" s="566"/>
      <c r="M7" s="564" t="s">
        <v>958</v>
      </c>
      <c r="N7" s="565"/>
      <c r="O7" s="565"/>
      <c r="P7" s="566"/>
    </row>
    <row r="8" spans="1:17" s="238" customFormat="1" ht="63" customHeight="1" x14ac:dyDescent="0.2">
      <c r="A8" s="563"/>
      <c r="B8" s="563"/>
      <c r="C8" s="325"/>
      <c r="D8" s="325"/>
      <c r="E8" s="325"/>
      <c r="F8" s="325"/>
      <c r="G8" s="325"/>
      <c r="H8" s="326"/>
      <c r="I8" s="326" t="s">
        <v>571</v>
      </c>
      <c r="J8" s="326" t="s">
        <v>572</v>
      </c>
      <c r="K8" s="327" t="s">
        <v>573</v>
      </c>
      <c r="L8" s="327" t="s">
        <v>574</v>
      </c>
      <c r="M8" s="326" t="s">
        <v>571</v>
      </c>
      <c r="N8" s="326" t="s">
        <v>572</v>
      </c>
      <c r="O8" s="327" t="s">
        <v>573</v>
      </c>
      <c r="P8" s="327" t="s">
        <v>574</v>
      </c>
    </row>
    <row r="9" spans="1:17" ht="13.5" customHeight="1" x14ac:dyDescent="0.2">
      <c r="A9" s="285">
        <v>1</v>
      </c>
      <c r="B9" s="285">
        <v>2</v>
      </c>
      <c r="C9" s="177"/>
      <c r="D9" s="177"/>
      <c r="E9" s="177"/>
      <c r="F9" s="177"/>
      <c r="G9" s="177"/>
      <c r="H9" s="285"/>
      <c r="I9" s="285">
        <v>3</v>
      </c>
      <c r="J9" s="285">
        <v>4</v>
      </c>
      <c r="K9" s="285">
        <v>5</v>
      </c>
      <c r="L9" s="285">
        <v>6</v>
      </c>
      <c r="M9" s="285">
        <v>3</v>
      </c>
      <c r="N9" s="285">
        <v>4</v>
      </c>
      <c r="O9" s="285">
        <v>5</v>
      </c>
      <c r="P9" s="285">
        <v>6</v>
      </c>
    </row>
    <row r="10" spans="1:17" s="238" customFormat="1" ht="21" customHeight="1" x14ac:dyDescent="0.2">
      <c r="A10" s="235"/>
      <c r="B10" s="236" t="s">
        <v>399</v>
      </c>
      <c r="C10" s="237"/>
      <c r="D10" s="237"/>
      <c r="E10" s="237"/>
      <c r="F10" s="237"/>
      <c r="G10" s="237"/>
      <c r="H10" s="237"/>
      <c r="I10" s="422">
        <f>J10+K10+L10</f>
        <v>13971.26</v>
      </c>
      <c r="J10" s="422">
        <f>J11</f>
        <v>0</v>
      </c>
      <c r="K10" s="422">
        <f t="shared" ref="K10" si="0">K11</f>
        <v>2639</v>
      </c>
      <c r="L10" s="422">
        <f>L11</f>
        <v>11332.26</v>
      </c>
      <c r="M10" s="288" t="e">
        <f>N10+O10+P10</f>
        <v>#REF!</v>
      </c>
      <c r="N10" s="288" t="e">
        <f>#REF!</f>
        <v>#REF!</v>
      </c>
      <c r="O10" s="288" t="e">
        <f>#REF!</f>
        <v>#REF!</v>
      </c>
      <c r="P10" s="288" t="e">
        <f>#REF!</f>
        <v>#REF!</v>
      </c>
    </row>
    <row r="11" spans="1:17" ht="24.75" customHeight="1" x14ac:dyDescent="0.2">
      <c r="A11" s="182"/>
      <c r="B11" s="31" t="s">
        <v>722</v>
      </c>
      <c r="C11" s="179"/>
      <c r="D11" s="179"/>
      <c r="E11" s="179"/>
      <c r="F11" s="179"/>
      <c r="G11" s="179"/>
      <c r="H11" s="179"/>
      <c r="I11" s="421">
        <f>J11+K11+L11</f>
        <v>13971.26</v>
      </c>
      <c r="J11" s="421">
        <f>J12+J13+J14+J15+J16+J17+J19+J20</f>
        <v>0</v>
      </c>
      <c r="K11" s="421">
        <f t="shared" ref="K11:L11" si="1">K12+K13+K14+K15+K16+K17+K19+K20</f>
        <v>2639</v>
      </c>
      <c r="L11" s="421">
        <f t="shared" si="1"/>
        <v>11332.26</v>
      </c>
      <c r="M11" s="183" t="e">
        <f t="shared" ref="M11:M17" si="2">N11+O11+P11</f>
        <v>#REF!</v>
      </c>
      <c r="N11" s="183" t="e">
        <f>N12+N13+N14+N15+#REF!+N16+N17</f>
        <v>#REF!</v>
      </c>
      <c r="O11" s="183" t="e">
        <f>O12+O13+O14+O15+#REF!+O16+O17</f>
        <v>#REF!</v>
      </c>
      <c r="P11" s="183" t="e">
        <f>P12+P13+P14+P15+#REF!+P16+P17</f>
        <v>#REF!</v>
      </c>
      <c r="Q11" s="96"/>
    </row>
    <row r="12" spans="1:17" ht="14.25" hidden="1" customHeight="1" x14ac:dyDescent="0.2">
      <c r="A12" s="182" t="s">
        <v>561</v>
      </c>
      <c r="B12" s="184" t="s">
        <v>706</v>
      </c>
      <c r="C12" s="285"/>
      <c r="D12" s="285"/>
      <c r="E12" s="285"/>
      <c r="F12" s="285"/>
      <c r="G12" s="285"/>
      <c r="H12" s="285"/>
      <c r="I12" s="421">
        <f t="shared" ref="I12:I20" si="3">J12+K12+L12</f>
        <v>0</v>
      </c>
      <c r="J12" s="421">
        <v>0</v>
      </c>
      <c r="K12" s="421">
        <v>0</v>
      </c>
      <c r="L12" s="421">
        <v>0</v>
      </c>
      <c r="M12" s="183">
        <f t="shared" si="2"/>
        <v>1105.4000000000001</v>
      </c>
      <c r="N12" s="183"/>
      <c r="O12" s="185"/>
      <c r="P12" s="289">
        <v>1105.4000000000001</v>
      </c>
    </row>
    <row r="13" spans="1:17" ht="14.25" hidden="1" customHeight="1" x14ac:dyDescent="0.2">
      <c r="A13" s="182" t="s">
        <v>563</v>
      </c>
      <c r="B13" s="184" t="s">
        <v>704</v>
      </c>
      <c r="C13" s="285"/>
      <c r="D13" s="285"/>
      <c r="E13" s="285"/>
      <c r="F13" s="285"/>
      <c r="G13" s="285"/>
      <c r="H13" s="285"/>
      <c r="I13" s="421">
        <f t="shared" si="3"/>
        <v>0</v>
      </c>
      <c r="J13" s="421">
        <v>0</v>
      </c>
      <c r="K13" s="425">
        <v>0</v>
      </c>
      <c r="L13" s="425">
        <v>0</v>
      </c>
      <c r="M13" s="183">
        <f t="shared" si="2"/>
        <v>0</v>
      </c>
      <c r="N13" s="183"/>
      <c r="O13" s="185"/>
      <c r="P13" s="289"/>
    </row>
    <row r="14" spans="1:17" ht="14.25" hidden="1" customHeight="1" x14ac:dyDescent="0.2">
      <c r="A14" s="182" t="s">
        <v>565</v>
      </c>
      <c r="B14" s="184" t="s">
        <v>705</v>
      </c>
      <c r="C14" s="285"/>
      <c r="D14" s="285"/>
      <c r="E14" s="285"/>
      <c r="F14" s="285"/>
      <c r="G14" s="285"/>
      <c r="H14" s="285"/>
      <c r="I14" s="421">
        <f t="shared" si="3"/>
        <v>0</v>
      </c>
      <c r="J14" s="421">
        <v>0</v>
      </c>
      <c r="K14" s="425">
        <v>0</v>
      </c>
      <c r="L14" s="425">
        <v>0</v>
      </c>
      <c r="M14" s="183">
        <f t="shared" si="2"/>
        <v>0</v>
      </c>
      <c r="N14" s="183"/>
      <c r="O14" s="185"/>
      <c r="P14" s="289"/>
    </row>
    <row r="15" spans="1:17" ht="14.25" hidden="1" customHeight="1" x14ac:dyDescent="0.2">
      <c r="A15" s="182" t="s">
        <v>595</v>
      </c>
      <c r="B15" s="184" t="s">
        <v>708</v>
      </c>
      <c r="C15" s="285"/>
      <c r="D15" s="285"/>
      <c r="E15" s="285"/>
      <c r="F15" s="285"/>
      <c r="G15" s="285"/>
      <c r="H15" s="285"/>
      <c r="I15" s="421">
        <f t="shared" si="3"/>
        <v>0</v>
      </c>
      <c r="J15" s="421">
        <v>0</v>
      </c>
      <c r="K15" s="425">
        <v>0</v>
      </c>
      <c r="L15" s="425">
        <v>0</v>
      </c>
      <c r="M15" s="183">
        <f t="shared" si="2"/>
        <v>1000</v>
      </c>
      <c r="N15" s="183"/>
      <c r="O15" s="185"/>
      <c r="P15" s="289">
        <v>1000</v>
      </c>
    </row>
    <row r="16" spans="1:17" ht="14.25" hidden="1" customHeight="1" x14ac:dyDescent="0.2">
      <c r="A16" s="182" t="s">
        <v>596</v>
      </c>
      <c r="B16" s="184" t="s">
        <v>709</v>
      </c>
      <c r="C16" s="285"/>
      <c r="D16" s="285"/>
      <c r="E16" s="285"/>
      <c r="F16" s="285"/>
      <c r="G16" s="285"/>
      <c r="H16" s="285"/>
      <c r="I16" s="421">
        <f t="shared" si="3"/>
        <v>0</v>
      </c>
      <c r="J16" s="421">
        <v>0</v>
      </c>
      <c r="K16" s="425">
        <v>0</v>
      </c>
      <c r="L16" s="425">
        <v>0</v>
      </c>
      <c r="M16" s="183">
        <f t="shared" si="2"/>
        <v>650</v>
      </c>
      <c r="N16" s="183"/>
      <c r="O16" s="185"/>
      <c r="P16" s="289">
        <v>650</v>
      </c>
    </row>
    <row r="17" spans="1:16" ht="14.25" hidden="1" customHeight="1" x14ac:dyDescent="0.2">
      <c r="A17" s="182" t="s">
        <v>597</v>
      </c>
      <c r="B17" s="289" t="s">
        <v>707</v>
      </c>
      <c r="C17" s="285"/>
      <c r="D17" s="285"/>
      <c r="E17" s="285"/>
      <c r="F17" s="285"/>
      <c r="G17" s="285"/>
      <c r="H17" s="285"/>
      <c r="I17" s="421">
        <f t="shared" si="3"/>
        <v>0</v>
      </c>
      <c r="J17" s="421">
        <v>0</v>
      </c>
      <c r="K17" s="425">
        <v>0</v>
      </c>
      <c r="L17" s="425">
        <v>0</v>
      </c>
      <c r="M17" s="183">
        <f t="shared" si="2"/>
        <v>0</v>
      </c>
      <c r="N17" s="183"/>
      <c r="O17" s="185"/>
      <c r="P17" s="289">
        <v>0</v>
      </c>
    </row>
    <row r="18" spans="1:16" ht="14.25" hidden="1" customHeight="1" x14ac:dyDescent="0.2">
      <c r="A18" s="182" t="s">
        <v>1043</v>
      </c>
      <c r="B18" s="289" t="s">
        <v>703</v>
      </c>
      <c r="C18" s="412"/>
      <c r="D18" s="412"/>
      <c r="E18" s="412"/>
      <c r="F18" s="412"/>
      <c r="G18" s="412"/>
      <c r="H18" s="412"/>
      <c r="I18" s="421">
        <f t="shared" si="3"/>
        <v>0</v>
      </c>
      <c r="J18" s="421">
        <v>0</v>
      </c>
      <c r="K18" s="425">
        <v>0</v>
      </c>
      <c r="L18" s="425">
        <v>0</v>
      </c>
      <c r="M18" s="404"/>
      <c r="N18" s="404"/>
      <c r="O18" s="405"/>
      <c r="P18" s="84"/>
    </row>
    <row r="19" spans="1:16" ht="14.25" customHeight="1" x14ac:dyDescent="0.2">
      <c r="A19" s="182" t="s">
        <v>561</v>
      </c>
      <c r="B19" s="289" t="s">
        <v>1044</v>
      </c>
      <c r="C19" s="403"/>
      <c r="D19" s="403"/>
      <c r="E19" s="403"/>
      <c r="F19" s="403"/>
      <c r="G19" s="403"/>
      <c r="H19" s="403"/>
      <c r="I19" s="421">
        <f t="shared" si="3"/>
        <v>11305.6</v>
      </c>
      <c r="J19" s="421">
        <v>0</v>
      </c>
      <c r="K19" s="425">
        <v>0</v>
      </c>
      <c r="L19" s="425">
        <f>11332.26-26.66</f>
        <v>11305.6</v>
      </c>
      <c r="M19" s="404"/>
      <c r="N19" s="404"/>
      <c r="O19" s="405"/>
      <c r="P19" s="84"/>
    </row>
    <row r="20" spans="1:16" ht="15.75" x14ac:dyDescent="0.2">
      <c r="A20" s="459">
        <v>2</v>
      </c>
      <c r="B20" s="226" t="s">
        <v>706</v>
      </c>
      <c r="C20" s="460"/>
      <c r="D20" s="460"/>
      <c r="E20" s="460"/>
      <c r="F20" s="460"/>
      <c r="G20" s="460"/>
      <c r="H20" s="460"/>
      <c r="I20" s="421">
        <f t="shared" si="3"/>
        <v>2665.66</v>
      </c>
      <c r="J20" s="461">
        <v>0</v>
      </c>
      <c r="K20" s="461">
        <v>2639</v>
      </c>
      <c r="L20" s="461">
        <v>26.66</v>
      </c>
      <c r="M20" s="91"/>
    </row>
    <row r="21" spans="1:16" ht="15.75" x14ac:dyDescent="0.2">
      <c r="A21" s="95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87"/>
      <c r="B22" s="92"/>
      <c r="C22" s="93"/>
      <c r="D22" s="93"/>
      <c r="E22" s="93"/>
      <c r="F22" s="93"/>
      <c r="G22" s="93"/>
      <c r="H22" s="93"/>
    </row>
    <row r="23" spans="1:16" ht="15.75" x14ac:dyDescent="0.2">
      <c r="B23" s="92"/>
      <c r="C23" s="93"/>
      <c r="D23" s="93"/>
      <c r="E23" s="93"/>
      <c r="F23" s="93"/>
      <c r="G23" s="93"/>
      <c r="H23" s="93"/>
    </row>
    <row r="24" spans="1:16" ht="15.75" x14ac:dyDescent="0.2">
      <c r="B24" s="92"/>
      <c r="C24" s="93"/>
      <c r="D24" s="93"/>
      <c r="E24" s="93"/>
      <c r="F24" s="93"/>
      <c r="G24" s="93"/>
      <c r="H24" s="93"/>
    </row>
    <row r="25" spans="1:16" ht="15.75" x14ac:dyDescent="0.2">
      <c r="B25" s="92"/>
      <c r="C25" s="93"/>
      <c r="D25" s="93"/>
      <c r="E25" s="93"/>
      <c r="F25" s="93"/>
      <c r="G25" s="93"/>
      <c r="H25" s="93"/>
    </row>
    <row r="26" spans="1:16" ht="15.75" x14ac:dyDescent="0.2">
      <c r="B26" s="92"/>
      <c r="C26" s="93"/>
      <c r="D26" s="93"/>
      <c r="E26" s="93"/>
      <c r="F26" s="93"/>
      <c r="G26" s="93"/>
      <c r="H26" s="93"/>
    </row>
    <row r="27" spans="1:16" ht="15.75" x14ac:dyDescent="0.2">
      <c r="B27" s="92"/>
      <c r="C27" s="93"/>
      <c r="D27" s="93"/>
      <c r="E27" s="93"/>
      <c r="F27" s="93"/>
      <c r="G27" s="93"/>
      <c r="H27" s="93"/>
    </row>
    <row r="28" spans="1:16" ht="15.75" x14ac:dyDescent="0.2">
      <c r="B28" s="92"/>
      <c r="C28" s="93"/>
      <c r="D28" s="93"/>
      <c r="E28" s="93"/>
      <c r="F28" s="93"/>
      <c r="G28" s="93"/>
      <c r="H28" s="93"/>
    </row>
    <row r="29" spans="1:16" ht="15.75" x14ac:dyDescent="0.2"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G9" sqref="G9"/>
    </sheetView>
  </sheetViews>
  <sheetFormatPr defaultRowHeight="15" x14ac:dyDescent="0.25"/>
  <cols>
    <col min="1" max="1" width="17.7109375" style="122" customWidth="1"/>
    <col min="2" max="2" width="40.42578125" style="122" customWidth="1"/>
    <col min="3" max="3" width="5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hidden="1" customWidth="1"/>
    <col min="9" max="9" width="13.85546875" style="122" hidden="1" customWidth="1"/>
    <col min="10" max="10" width="13.28515625" style="122" hidden="1" customWidth="1"/>
    <col min="11" max="11" width="11.5703125" style="122" hidden="1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7" width="0" style="122" hidden="1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3" width="0" style="122" hidden="1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9" width="0" style="122" hidden="1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5" width="0" style="122" hidden="1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91" width="0" style="122" hidden="1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7" width="0" style="122" hidden="1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3" width="0" style="122" hidden="1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9" width="0" style="122" hidden="1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5" width="0" style="122" hidden="1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71" width="0" style="122" hidden="1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7" width="0" style="122" hidden="1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3" width="0" style="122" hidden="1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9" width="0" style="122" hidden="1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5" width="0" style="122" hidden="1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51" width="0" style="122" hidden="1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7" width="0" style="122" hidden="1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3" width="0" style="122" hidden="1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9" width="0" style="122" hidden="1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5" width="0" style="122" hidden="1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31" width="0" style="122" hidden="1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7" width="0" style="122" hidden="1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3" width="0" style="122" hidden="1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9" width="0" style="122" hidden="1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5" width="0" style="122" hidden="1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11" width="0" style="122" hidden="1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7" width="0" style="122" hidden="1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3" width="0" style="122" hidden="1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9" width="0" style="122" hidden="1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5" width="0" style="122" hidden="1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91" width="0" style="122" hidden="1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7" width="0" style="122" hidden="1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3" width="0" style="122" hidden="1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9" width="0" style="122" hidden="1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5" width="0" style="122" hidden="1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71" width="0" style="122" hidden="1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7" width="0" style="122" hidden="1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3" width="0" style="122" hidden="1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9" width="0" style="122" hidden="1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5" width="0" style="122" hidden="1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51" width="0" style="122" hidden="1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7" width="0" style="122" hidden="1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3" width="0" style="122" hidden="1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9" width="0" style="122" hidden="1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5" width="0" style="122" hidden="1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31" width="0" style="122" hidden="1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7" width="0" style="122" hidden="1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3" width="0" style="122" hidden="1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9" width="0" style="122" hidden="1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5" width="0" style="122" hidden="1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11" width="0" style="122" hidden="1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7" width="0" style="122" hidden="1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3" width="0" style="122" hidden="1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9" width="0" style="122" hidden="1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5" width="0" style="122" hidden="1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91" width="0" style="122" hidden="1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7" width="0" style="122" hidden="1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3" width="0" style="122" hidden="1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9" width="0" style="122" hidden="1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5" width="0" style="122" hidden="1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71" width="0" style="122" hidden="1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7" width="0" style="122" hidden="1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3" width="0" style="122" hidden="1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9" width="0" style="122" hidden="1" customWidth="1"/>
    <col min="16140" max="16140" width="15.28515625" style="122" customWidth="1"/>
    <col min="16141" max="16384" width="9.140625" style="122"/>
  </cols>
  <sheetData>
    <row r="1" spans="1:11" x14ac:dyDescent="0.25">
      <c r="F1" s="495" t="s">
        <v>1214</v>
      </c>
      <c r="G1" s="495"/>
      <c r="J1" s="496" t="s">
        <v>962</v>
      </c>
      <c r="K1" s="496"/>
    </row>
    <row r="2" spans="1:11" ht="37.5" customHeight="1" x14ac:dyDescent="0.3">
      <c r="A2" s="497"/>
      <c r="B2" s="497"/>
      <c r="C2" s="497"/>
      <c r="E2" s="498" t="s">
        <v>1218</v>
      </c>
      <c r="F2" s="498"/>
      <c r="G2" s="498"/>
      <c r="I2" s="43"/>
      <c r="J2" s="471" t="s">
        <v>446</v>
      </c>
      <c r="K2" s="471"/>
    </row>
    <row r="3" spans="1:11" s="293" customFormat="1" ht="49.5" customHeight="1" x14ac:dyDescent="0.3">
      <c r="A3" s="474" t="s">
        <v>1217</v>
      </c>
      <c r="B3" s="474"/>
      <c r="C3" s="474"/>
      <c r="D3" s="474"/>
      <c r="E3" s="474"/>
      <c r="F3" s="474"/>
      <c r="G3" s="474"/>
      <c r="H3" s="225"/>
      <c r="I3" s="225"/>
      <c r="J3" s="225"/>
      <c r="K3" s="225"/>
    </row>
    <row r="4" spans="1:11" s="293" customFormat="1" ht="18.75" x14ac:dyDescent="0.3">
      <c r="A4" s="294"/>
      <c r="B4" s="294"/>
      <c r="C4" s="294"/>
      <c r="D4" s="295"/>
      <c r="E4" s="295"/>
      <c r="F4" s="295"/>
      <c r="G4" s="499" t="s">
        <v>549</v>
      </c>
      <c r="H4" s="499"/>
      <c r="I4" s="500" t="s">
        <v>549</v>
      </c>
      <c r="J4" s="500"/>
      <c r="K4" s="500"/>
    </row>
    <row r="5" spans="1:11" s="296" customFormat="1" ht="12.75" customHeight="1" x14ac:dyDescent="0.2">
      <c r="A5" s="501" t="s">
        <v>674</v>
      </c>
      <c r="B5" s="501" t="s">
        <v>675</v>
      </c>
      <c r="C5" s="501" t="s">
        <v>676</v>
      </c>
      <c r="D5" s="503" t="s">
        <v>1187</v>
      </c>
      <c r="E5" s="503"/>
      <c r="F5" s="503"/>
      <c r="G5" s="503"/>
      <c r="H5" s="489" t="s">
        <v>963</v>
      </c>
      <c r="I5" s="490"/>
      <c r="J5" s="490"/>
      <c r="K5" s="491"/>
    </row>
    <row r="6" spans="1:11" s="296" customFormat="1" ht="12.75" x14ac:dyDescent="0.2">
      <c r="A6" s="502"/>
      <c r="B6" s="501"/>
      <c r="C6" s="501"/>
      <c r="D6" s="503" t="s">
        <v>555</v>
      </c>
      <c r="E6" s="503" t="s">
        <v>677</v>
      </c>
      <c r="F6" s="503"/>
      <c r="G6" s="503"/>
      <c r="H6" s="487" t="s">
        <v>555</v>
      </c>
      <c r="I6" s="489" t="s">
        <v>677</v>
      </c>
      <c r="J6" s="490"/>
      <c r="K6" s="491"/>
    </row>
    <row r="7" spans="1:11" s="296" customFormat="1" ht="25.5" x14ac:dyDescent="0.2">
      <c r="A7" s="502"/>
      <c r="B7" s="501"/>
      <c r="C7" s="501"/>
      <c r="D7" s="503"/>
      <c r="E7" s="423" t="s">
        <v>678</v>
      </c>
      <c r="F7" s="423" t="s">
        <v>679</v>
      </c>
      <c r="G7" s="423" t="s">
        <v>680</v>
      </c>
      <c r="H7" s="488"/>
      <c r="I7" s="297" t="s">
        <v>678</v>
      </c>
      <c r="J7" s="297" t="s">
        <v>679</v>
      </c>
      <c r="K7" s="297" t="s">
        <v>680</v>
      </c>
    </row>
    <row r="8" spans="1:11" s="300" customFormat="1" ht="84.75" customHeight="1" x14ac:dyDescent="0.2">
      <c r="A8" s="446" t="s">
        <v>699</v>
      </c>
      <c r="B8" s="298" t="s">
        <v>700</v>
      </c>
      <c r="C8" s="298" t="s">
        <v>701</v>
      </c>
      <c r="D8" s="299">
        <f>E8+F8+G8</f>
        <v>695</v>
      </c>
      <c r="E8" s="299">
        <v>0</v>
      </c>
      <c r="F8" s="299">
        <v>0</v>
      </c>
      <c r="G8" s="299">
        <v>695</v>
      </c>
      <c r="H8" s="299">
        <f>I8+J8+K8</f>
        <v>377.02</v>
      </c>
      <c r="I8" s="299"/>
      <c r="J8" s="299"/>
      <c r="K8" s="299">
        <v>377.02</v>
      </c>
    </row>
    <row r="9" spans="1:11" s="296" customFormat="1" ht="33" customHeight="1" x14ac:dyDescent="0.2">
      <c r="A9" s="492" t="s">
        <v>555</v>
      </c>
      <c r="B9" s="493"/>
      <c r="C9" s="494"/>
      <c r="D9" s="301">
        <f>D8</f>
        <v>695</v>
      </c>
      <c r="E9" s="301">
        <f t="shared" ref="E9:G9" si="0">E8</f>
        <v>0</v>
      </c>
      <c r="F9" s="301">
        <f t="shared" si="0"/>
        <v>0</v>
      </c>
      <c r="G9" s="301">
        <f t="shared" si="0"/>
        <v>695</v>
      </c>
      <c r="H9" s="301" t="e">
        <f>H8+#REF!</f>
        <v>#REF!</v>
      </c>
      <c r="I9" s="301" t="e">
        <f>I8+#REF!</f>
        <v>#REF!</v>
      </c>
      <c r="J9" s="301" t="e">
        <f>J8+#REF!</f>
        <v>#REF!</v>
      </c>
      <c r="K9" s="301" t="e">
        <f>K8+#REF!</f>
        <v>#REF!</v>
      </c>
    </row>
    <row r="11" spans="1:11" ht="18.75" x14ac:dyDescent="0.3">
      <c r="D11" s="302"/>
      <c r="E11" s="302"/>
      <c r="F11" s="302"/>
      <c r="G11" s="302"/>
      <c r="H11" s="303"/>
      <c r="I11" s="303"/>
    </row>
    <row r="12" spans="1:11" ht="18.75" x14ac:dyDescent="0.3">
      <c r="D12" s="302"/>
      <c r="E12" s="302"/>
      <c r="F12" s="302"/>
      <c r="G12" s="302"/>
      <c r="H12" s="303"/>
      <c r="I12" s="303"/>
    </row>
    <row r="13" spans="1:11" ht="18.75" x14ac:dyDescent="0.3">
      <c r="D13" s="304"/>
      <c r="E13" s="302"/>
      <c r="F13" s="302"/>
      <c r="G13" s="305"/>
      <c r="H13" s="303"/>
      <c r="I13" s="306"/>
    </row>
    <row r="14" spans="1:11" ht="18.75" x14ac:dyDescent="0.3">
      <c r="D14" s="302"/>
      <c r="E14" s="302"/>
      <c r="F14" s="302"/>
      <c r="G14" s="302"/>
      <c r="H14" s="303"/>
      <c r="I14" s="303"/>
    </row>
    <row r="15" spans="1:11" ht="18.75" x14ac:dyDescent="0.3">
      <c r="D15" s="302"/>
      <c r="E15" s="302"/>
      <c r="F15" s="302"/>
      <c r="G15" s="302"/>
      <c r="H15" s="303"/>
      <c r="I15" s="303"/>
    </row>
    <row r="16" spans="1:11" x14ac:dyDescent="0.25">
      <c r="D16" s="134"/>
      <c r="E16" s="134"/>
      <c r="F16" s="134"/>
      <c r="G16" s="134"/>
      <c r="H16" s="126"/>
      <c r="I16" s="126"/>
    </row>
    <row r="17" spans="4:9" x14ac:dyDescent="0.25">
      <c r="D17" s="134"/>
      <c r="E17" s="134"/>
      <c r="F17" s="134"/>
      <c r="G17" s="134"/>
      <c r="H17" s="126"/>
      <c r="I17" s="126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</sheetData>
  <mergeCells count="18">
    <mergeCell ref="D6:D7"/>
    <mergeCell ref="E6:G6"/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90" zoomScaleNormal="90" zoomScaleSheetLayoutView="90" workbookViewId="0">
      <selection activeCell="I36" sqref="I36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70"/>
      <c r="L1" s="570"/>
      <c r="O1" s="567" t="s">
        <v>1185</v>
      </c>
      <c r="P1" s="567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71" t="s">
        <v>1218</v>
      </c>
      <c r="P2" s="471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7"/>
      <c r="B4" s="569" t="s">
        <v>1232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7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5"/>
      <c r="D6" s="175"/>
      <c r="E6" s="175"/>
      <c r="F6" s="175"/>
      <c r="G6" s="175"/>
      <c r="H6" s="77"/>
      <c r="P6" s="176" t="s">
        <v>549</v>
      </c>
    </row>
    <row r="7" spans="1:17" ht="31.7" customHeight="1" x14ac:dyDescent="0.2">
      <c r="A7" s="571" t="s">
        <v>567</v>
      </c>
      <c r="B7" s="571" t="s">
        <v>568</v>
      </c>
      <c r="C7" s="177">
        <v>2008</v>
      </c>
      <c r="D7" s="177">
        <v>2010</v>
      </c>
      <c r="E7" s="177">
        <v>2010</v>
      </c>
      <c r="F7" s="177" t="s">
        <v>569</v>
      </c>
      <c r="G7" s="177" t="s">
        <v>570</v>
      </c>
      <c r="H7" s="285">
        <v>2011</v>
      </c>
      <c r="I7" s="572" t="s">
        <v>1191</v>
      </c>
      <c r="J7" s="573"/>
      <c r="K7" s="573"/>
      <c r="L7" s="574"/>
      <c r="M7" s="572" t="s">
        <v>1233</v>
      </c>
      <c r="N7" s="573"/>
      <c r="O7" s="573"/>
      <c r="P7" s="574"/>
    </row>
    <row r="8" spans="1:17" ht="55.5" customHeight="1" x14ac:dyDescent="0.2">
      <c r="A8" s="571"/>
      <c r="B8" s="571"/>
      <c r="C8" s="177"/>
      <c r="D8" s="177"/>
      <c r="E8" s="177"/>
      <c r="F8" s="177"/>
      <c r="G8" s="177"/>
      <c r="H8" s="285"/>
      <c r="I8" s="285" t="s">
        <v>571</v>
      </c>
      <c r="J8" s="285" t="s">
        <v>572</v>
      </c>
      <c r="K8" s="178" t="s">
        <v>573</v>
      </c>
      <c r="L8" s="178" t="s">
        <v>574</v>
      </c>
      <c r="M8" s="285" t="s">
        <v>571</v>
      </c>
      <c r="N8" s="285" t="s">
        <v>572</v>
      </c>
      <c r="O8" s="178" t="s">
        <v>573</v>
      </c>
      <c r="P8" s="178" t="s">
        <v>574</v>
      </c>
    </row>
    <row r="9" spans="1:17" ht="12.75" customHeight="1" x14ac:dyDescent="0.2">
      <c r="A9" s="285">
        <v>1</v>
      </c>
      <c r="B9" s="285">
        <v>2</v>
      </c>
      <c r="C9" s="177"/>
      <c r="D9" s="177"/>
      <c r="E9" s="177"/>
      <c r="F9" s="177"/>
      <c r="G9" s="177"/>
      <c r="H9" s="285"/>
      <c r="I9" s="350">
        <v>3</v>
      </c>
      <c r="J9" s="350">
        <v>4</v>
      </c>
      <c r="K9" s="350">
        <v>5</v>
      </c>
      <c r="L9" s="350">
        <v>6</v>
      </c>
      <c r="M9" s="350">
        <v>7</v>
      </c>
      <c r="N9" s="350">
        <v>8</v>
      </c>
      <c r="O9" s="350">
        <v>9</v>
      </c>
      <c r="P9" s="350">
        <v>10</v>
      </c>
    </row>
    <row r="10" spans="1:17" s="238" customFormat="1" ht="22.5" customHeight="1" x14ac:dyDescent="0.2">
      <c r="A10" s="235"/>
      <c r="B10" s="236" t="s">
        <v>399</v>
      </c>
      <c r="C10" s="237"/>
      <c r="D10" s="237"/>
      <c r="E10" s="237"/>
      <c r="F10" s="237"/>
      <c r="G10" s="237"/>
      <c r="H10" s="237"/>
      <c r="I10" s="422">
        <f>J10+K10+L10</f>
        <v>11911.15</v>
      </c>
      <c r="J10" s="422">
        <f t="shared" ref="J10:K11" si="0">J11</f>
        <v>0</v>
      </c>
      <c r="K10" s="422">
        <f t="shared" si="0"/>
        <v>0</v>
      </c>
      <c r="L10" s="422">
        <f>L11</f>
        <v>11911.15</v>
      </c>
      <c r="M10" s="422">
        <f>N10+O10+P10</f>
        <v>12404.74</v>
      </c>
      <c r="N10" s="422">
        <f t="shared" ref="N10:O11" si="1">N11</f>
        <v>0</v>
      </c>
      <c r="O10" s="422">
        <f t="shared" si="1"/>
        <v>0</v>
      </c>
      <c r="P10" s="422">
        <f>P11</f>
        <v>12404.74</v>
      </c>
    </row>
    <row r="11" spans="1:17" s="88" customFormat="1" ht="33.75" customHeight="1" x14ac:dyDescent="0.2">
      <c r="A11" s="180"/>
      <c r="B11" s="445" t="s">
        <v>722</v>
      </c>
      <c r="C11" s="181"/>
      <c r="D11" s="181"/>
      <c r="E11" s="181"/>
      <c r="F11" s="181"/>
      <c r="G11" s="181"/>
      <c r="H11" s="181"/>
      <c r="I11" s="421">
        <f t="shared" ref="I11:I19" si="2">J11+K11+L11</f>
        <v>11911.15</v>
      </c>
      <c r="J11" s="183">
        <f t="shared" si="0"/>
        <v>0</v>
      </c>
      <c r="K11" s="183">
        <f t="shared" si="0"/>
        <v>0</v>
      </c>
      <c r="L11" s="421">
        <v>11911.15</v>
      </c>
      <c r="M11" s="421">
        <f t="shared" ref="M11:M19" si="3">N11+O11+P11</f>
        <v>12404.74</v>
      </c>
      <c r="N11" s="421">
        <f t="shared" si="1"/>
        <v>0</v>
      </c>
      <c r="O11" s="421">
        <f t="shared" si="1"/>
        <v>0</v>
      </c>
      <c r="P11" s="421">
        <v>12404.74</v>
      </c>
    </row>
    <row r="12" spans="1:17" ht="22.5" hidden="1" customHeight="1" x14ac:dyDescent="0.2">
      <c r="A12" s="182" t="s">
        <v>575</v>
      </c>
      <c r="B12" s="31" t="s">
        <v>1007</v>
      </c>
      <c r="C12" s="179"/>
      <c r="D12" s="179"/>
      <c r="E12" s="179"/>
      <c r="F12" s="179"/>
      <c r="G12" s="179"/>
      <c r="H12" s="179"/>
      <c r="I12" s="183">
        <f t="shared" si="2"/>
        <v>4419.7</v>
      </c>
      <c r="J12" s="183">
        <f>J13+J14+J15+J16+J17+J18+J19</f>
        <v>0</v>
      </c>
      <c r="K12" s="183">
        <f>K13+K14+K15+K16+K17+K18+K19</f>
        <v>0</v>
      </c>
      <c r="L12" s="183">
        <f>L13+L14+L15+L16+L17+L18+L19</f>
        <v>4419.7</v>
      </c>
      <c r="M12" s="183">
        <f t="shared" si="3"/>
        <v>6941.3</v>
      </c>
      <c r="N12" s="183">
        <f>N13+N14+N15+N16+N17+N18+N19</f>
        <v>0</v>
      </c>
      <c r="O12" s="183">
        <f>O13+O14+O15+O16+O17+O18+O19</f>
        <v>0</v>
      </c>
      <c r="P12" s="183">
        <f>P13+P14+P15+P16+P17+P18+P19</f>
        <v>6941.3</v>
      </c>
    </row>
    <row r="13" spans="1:17" ht="22.5" hidden="1" customHeight="1" x14ac:dyDescent="0.2">
      <c r="A13" s="182" t="s">
        <v>576</v>
      </c>
      <c r="B13" s="184" t="s">
        <v>706</v>
      </c>
      <c r="C13" s="285"/>
      <c r="D13" s="285"/>
      <c r="E13" s="285"/>
      <c r="F13" s="285"/>
      <c r="G13" s="285"/>
      <c r="H13" s="285"/>
      <c r="I13" s="183">
        <f t="shared" si="2"/>
        <v>3519.7</v>
      </c>
      <c r="J13" s="183"/>
      <c r="K13" s="183"/>
      <c r="L13" s="183">
        <v>3519.7</v>
      </c>
      <c r="M13" s="183">
        <f t="shared" si="3"/>
        <v>6041.3</v>
      </c>
      <c r="N13" s="183"/>
      <c r="O13" s="185"/>
      <c r="P13" s="350">
        <v>6041.3</v>
      </c>
    </row>
    <row r="14" spans="1:17" ht="22.5" hidden="1" customHeight="1" x14ac:dyDescent="0.2">
      <c r="A14" s="182" t="s">
        <v>577</v>
      </c>
      <c r="B14" s="184" t="s">
        <v>704</v>
      </c>
      <c r="C14" s="285"/>
      <c r="D14" s="285"/>
      <c r="E14" s="285"/>
      <c r="F14" s="285"/>
      <c r="G14" s="285"/>
      <c r="H14" s="285"/>
      <c r="I14" s="183">
        <f t="shared" si="2"/>
        <v>150</v>
      </c>
      <c r="J14" s="183"/>
      <c r="K14" s="185"/>
      <c r="L14" s="183">
        <v>150</v>
      </c>
      <c r="M14" s="183">
        <f t="shared" si="3"/>
        <v>150</v>
      </c>
      <c r="N14" s="183"/>
      <c r="O14" s="185"/>
      <c r="P14" s="396">
        <v>150</v>
      </c>
    </row>
    <row r="15" spans="1:17" ht="22.5" hidden="1" customHeight="1" x14ac:dyDescent="0.2">
      <c r="A15" s="182" t="s">
        <v>578</v>
      </c>
      <c r="B15" s="184" t="s">
        <v>705</v>
      </c>
      <c r="C15" s="285"/>
      <c r="D15" s="285"/>
      <c r="E15" s="285"/>
      <c r="F15" s="285"/>
      <c r="G15" s="285"/>
      <c r="H15" s="285"/>
      <c r="I15" s="183">
        <f t="shared" si="2"/>
        <v>150</v>
      </c>
      <c r="J15" s="183"/>
      <c r="K15" s="185"/>
      <c r="L15" s="183">
        <v>150</v>
      </c>
      <c r="M15" s="183">
        <f t="shared" si="3"/>
        <v>150</v>
      </c>
      <c r="N15" s="183"/>
      <c r="O15" s="185"/>
      <c r="P15" s="396">
        <v>150</v>
      </c>
    </row>
    <row r="16" spans="1:17" ht="22.5" hidden="1" customHeight="1" x14ac:dyDescent="0.2">
      <c r="A16" s="182" t="s">
        <v>579</v>
      </c>
      <c r="B16" s="184" t="s">
        <v>708</v>
      </c>
      <c r="C16" s="285"/>
      <c r="D16" s="285"/>
      <c r="E16" s="285"/>
      <c r="F16" s="285"/>
      <c r="G16" s="285"/>
      <c r="H16" s="285"/>
      <c r="I16" s="183">
        <f t="shared" si="2"/>
        <v>150</v>
      </c>
      <c r="J16" s="183"/>
      <c r="K16" s="185"/>
      <c r="L16" s="183">
        <v>150</v>
      </c>
      <c r="M16" s="183">
        <f t="shared" si="3"/>
        <v>150</v>
      </c>
      <c r="N16" s="183"/>
      <c r="O16" s="185"/>
      <c r="P16" s="396">
        <v>150</v>
      </c>
    </row>
    <row r="17" spans="1:16" ht="22.5" hidden="1" customHeight="1" x14ac:dyDescent="0.2">
      <c r="A17" s="182" t="s">
        <v>959</v>
      </c>
      <c r="B17" s="184" t="s">
        <v>703</v>
      </c>
      <c r="C17" s="285"/>
      <c r="D17" s="285"/>
      <c r="E17" s="285"/>
      <c r="F17" s="285"/>
      <c r="G17" s="285"/>
      <c r="H17" s="285"/>
      <c r="I17" s="183">
        <f t="shared" si="2"/>
        <v>150</v>
      </c>
      <c r="J17" s="183"/>
      <c r="K17" s="185"/>
      <c r="L17" s="183">
        <v>150</v>
      </c>
      <c r="M17" s="183">
        <f t="shared" si="3"/>
        <v>150</v>
      </c>
      <c r="N17" s="183"/>
      <c r="O17" s="185"/>
      <c r="P17" s="396">
        <v>150</v>
      </c>
    </row>
    <row r="18" spans="1:16" ht="22.5" hidden="1" customHeight="1" x14ac:dyDescent="0.2">
      <c r="A18" s="182" t="s">
        <v>960</v>
      </c>
      <c r="B18" s="184" t="s">
        <v>709</v>
      </c>
      <c r="C18" s="285"/>
      <c r="D18" s="285"/>
      <c r="E18" s="285"/>
      <c r="F18" s="285"/>
      <c r="G18" s="285"/>
      <c r="H18" s="285"/>
      <c r="I18" s="183">
        <f t="shared" si="2"/>
        <v>150</v>
      </c>
      <c r="J18" s="183"/>
      <c r="K18" s="185"/>
      <c r="L18" s="183">
        <v>150</v>
      </c>
      <c r="M18" s="183">
        <f t="shared" si="3"/>
        <v>150</v>
      </c>
      <c r="N18" s="183"/>
      <c r="O18" s="185"/>
      <c r="P18" s="396">
        <v>150</v>
      </c>
    </row>
    <row r="19" spans="1:16" ht="22.5" hidden="1" customHeight="1" x14ac:dyDescent="0.2">
      <c r="A19" s="182" t="s">
        <v>961</v>
      </c>
      <c r="B19" s="289" t="s">
        <v>707</v>
      </c>
      <c r="C19" s="285"/>
      <c r="D19" s="285"/>
      <c r="E19" s="285"/>
      <c r="F19" s="285"/>
      <c r="G19" s="285"/>
      <c r="H19" s="285"/>
      <c r="I19" s="183">
        <f t="shared" si="2"/>
        <v>150</v>
      </c>
      <c r="J19" s="183"/>
      <c r="K19" s="185"/>
      <c r="L19" s="183">
        <v>150</v>
      </c>
      <c r="M19" s="183">
        <f t="shared" si="3"/>
        <v>150</v>
      </c>
      <c r="N19" s="183"/>
      <c r="O19" s="185"/>
      <c r="P19" s="396">
        <v>150</v>
      </c>
    </row>
    <row r="20" spans="1:16" ht="37.5" hidden="1" customHeight="1" x14ac:dyDescent="0.2">
      <c r="A20" s="186"/>
      <c r="B20" s="187"/>
      <c r="C20" s="188"/>
      <c r="D20" s="188"/>
      <c r="E20" s="188"/>
      <c r="F20" s="188"/>
      <c r="G20" s="188"/>
      <c r="H20" s="188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6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5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5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5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5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87"/>
      <c r="B28" s="92"/>
      <c r="C28" s="93"/>
      <c r="D28" s="93"/>
      <c r="E28" s="93"/>
      <c r="F28" s="93"/>
      <c r="G28" s="93"/>
      <c r="H28" s="93"/>
    </row>
    <row r="29" spans="1:16" ht="15.75" x14ac:dyDescent="0.2"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27"/>
  <sheetViews>
    <sheetView tabSelected="1"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B4" sqref="B4:K4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28" width="8" style="63" customWidth="1"/>
    <col min="29" max="236" width="8" style="63"/>
    <col min="237" max="237" width="8" style="332"/>
    <col min="238" max="238" width="0" style="332" hidden="1" customWidth="1"/>
    <col min="239" max="239" width="4.7109375" style="332" customWidth="1"/>
    <col min="240" max="240" width="72.5703125" style="332" customWidth="1"/>
    <col min="241" max="241" width="15.42578125" style="332" customWidth="1"/>
    <col min="242" max="242" width="16.28515625" style="332" customWidth="1"/>
    <col min="243" max="248" width="17.28515625" style="332" customWidth="1"/>
    <col min="249" max="255" width="0" style="332" hidden="1" customWidth="1"/>
    <col min="256" max="256" width="12.140625" style="332" customWidth="1"/>
    <col min="257" max="257" width="15.140625" style="332" customWidth="1"/>
    <col min="258" max="284" width="8" style="332" customWidth="1"/>
    <col min="285" max="493" width="8" style="332"/>
    <col min="494" max="494" width="0" style="332" hidden="1" customWidth="1"/>
    <col min="495" max="495" width="4.7109375" style="332" customWidth="1"/>
    <col min="496" max="496" width="72.5703125" style="332" customWidth="1"/>
    <col min="497" max="497" width="15.42578125" style="332" customWidth="1"/>
    <col min="498" max="498" width="16.28515625" style="332" customWidth="1"/>
    <col min="499" max="504" width="17.28515625" style="332" customWidth="1"/>
    <col min="505" max="511" width="0" style="332" hidden="1" customWidth="1"/>
    <col min="512" max="512" width="12.140625" style="332" customWidth="1"/>
    <col min="513" max="513" width="15.140625" style="332" customWidth="1"/>
    <col min="514" max="540" width="8" style="332" customWidth="1"/>
    <col min="541" max="749" width="8" style="332"/>
    <col min="750" max="750" width="0" style="332" hidden="1" customWidth="1"/>
    <col min="751" max="751" width="4.7109375" style="332" customWidth="1"/>
    <col min="752" max="752" width="72.5703125" style="332" customWidth="1"/>
    <col min="753" max="753" width="15.42578125" style="332" customWidth="1"/>
    <col min="754" max="754" width="16.28515625" style="332" customWidth="1"/>
    <col min="755" max="760" width="17.28515625" style="332" customWidth="1"/>
    <col min="761" max="767" width="0" style="332" hidden="1" customWidth="1"/>
    <col min="768" max="768" width="12.140625" style="332" customWidth="1"/>
    <col min="769" max="769" width="15.140625" style="332" customWidth="1"/>
    <col min="770" max="796" width="8" style="332" customWidth="1"/>
    <col min="797" max="1005" width="8" style="332"/>
    <col min="1006" max="1006" width="0" style="332" hidden="1" customWidth="1"/>
    <col min="1007" max="1007" width="4.7109375" style="332" customWidth="1"/>
    <col min="1008" max="1008" width="72.5703125" style="332" customWidth="1"/>
    <col min="1009" max="1009" width="15.42578125" style="332" customWidth="1"/>
    <col min="1010" max="1010" width="16.28515625" style="332" customWidth="1"/>
    <col min="1011" max="1016" width="17.28515625" style="332" customWidth="1"/>
    <col min="1017" max="1023" width="0" style="332" hidden="1" customWidth="1"/>
    <col min="1024" max="1024" width="12.140625" style="332" customWidth="1"/>
    <col min="1025" max="1025" width="15.140625" style="332" customWidth="1"/>
    <col min="1026" max="1052" width="8" style="332" customWidth="1"/>
    <col min="1053" max="1261" width="8" style="332"/>
    <col min="1262" max="1262" width="0" style="332" hidden="1" customWidth="1"/>
    <col min="1263" max="1263" width="4.7109375" style="332" customWidth="1"/>
    <col min="1264" max="1264" width="72.5703125" style="332" customWidth="1"/>
    <col min="1265" max="1265" width="15.42578125" style="332" customWidth="1"/>
    <col min="1266" max="1266" width="16.28515625" style="332" customWidth="1"/>
    <col min="1267" max="1272" width="17.28515625" style="332" customWidth="1"/>
    <col min="1273" max="1279" width="0" style="332" hidden="1" customWidth="1"/>
    <col min="1280" max="1280" width="12.140625" style="332" customWidth="1"/>
    <col min="1281" max="1281" width="15.140625" style="332" customWidth="1"/>
    <col min="1282" max="1308" width="8" style="332" customWidth="1"/>
    <col min="1309" max="1517" width="8" style="332"/>
    <col min="1518" max="1518" width="0" style="332" hidden="1" customWidth="1"/>
    <col min="1519" max="1519" width="4.7109375" style="332" customWidth="1"/>
    <col min="1520" max="1520" width="72.5703125" style="332" customWidth="1"/>
    <col min="1521" max="1521" width="15.42578125" style="332" customWidth="1"/>
    <col min="1522" max="1522" width="16.28515625" style="332" customWidth="1"/>
    <col min="1523" max="1528" width="17.28515625" style="332" customWidth="1"/>
    <col min="1529" max="1535" width="0" style="332" hidden="1" customWidth="1"/>
    <col min="1536" max="1536" width="12.140625" style="332" customWidth="1"/>
    <col min="1537" max="1537" width="15.140625" style="332" customWidth="1"/>
    <col min="1538" max="1564" width="8" style="332" customWidth="1"/>
    <col min="1565" max="1773" width="8" style="332"/>
    <col min="1774" max="1774" width="0" style="332" hidden="1" customWidth="1"/>
    <col min="1775" max="1775" width="4.7109375" style="332" customWidth="1"/>
    <col min="1776" max="1776" width="72.5703125" style="332" customWidth="1"/>
    <col min="1777" max="1777" width="15.42578125" style="332" customWidth="1"/>
    <col min="1778" max="1778" width="16.28515625" style="332" customWidth="1"/>
    <col min="1779" max="1784" width="17.28515625" style="332" customWidth="1"/>
    <col min="1785" max="1791" width="0" style="332" hidden="1" customWidth="1"/>
    <col min="1792" max="1792" width="12.140625" style="332" customWidth="1"/>
    <col min="1793" max="1793" width="15.140625" style="332" customWidth="1"/>
    <col min="1794" max="1820" width="8" style="332" customWidth="1"/>
    <col min="1821" max="2029" width="8" style="332"/>
    <col min="2030" max="2030" width="0" style="332" hidden="1" customWidth="1"/>
    <col min="2031" max="2031" width="4.7109375" style="332" customWidth="1"/>
    <col min="2032" max="2032" width="72.5703125" style="332" customWidth="1"/>
    <col min="2033" max="2033" width="15.42578125" style="332" customWidth="1"/>
    <col min="2034" max="2034" width="16.28515625" style="332" customWidth="1"/>
    <col min="2035" max="2040" width="17.28515625" style="332" customWidth="1"/>
    <col min="2041" max="2047" width="0" style="332" hidden="1" customWidth="1"/>
    <col min="2048" max="2048" width="12.140625" style="332" customWidth="1"/>
    <col min="2049" max="2049" width="15.140625" style="332" customWidth="1"/>
    <col min="2050" max="2076" width="8" style="332" customWidth="1"/>
    <col min="2077" max="2285" width="8" style="332"/>
    <col min="2286" max="2286" width="0" style="332" hidden="1" customWidth="1"/>
    <col min="2287" max="2287" width="4.7109375" style="332" customWidth="1"/>
    <col min="2288" max="2288" width="72.5703125" style="332" customWidth="1"/>
    <col min="2289" max="2289" width="15.42578125" style="332" customWidth="1"/>
    <col min="2290" max="2290" width="16.28515625" style="332" customWidth="1"/>
    <col min="2291" max="2296" width="17.28515625" style="332" customWidth="1"/>
    <col min="2297" max="2303" width="0" style="332" hidden="1" customWidth="1"/>
    <col min="2304" max="2304" width="12.140625" style="332" customWidth="1"/>
    <col min="2305" max="2305" width="15.140625" style="332" customWidth="1"/>
    <col min="2306" max="2332" width="8" style="332" customWidth="1"/>
    <col min="2333" max="2541" width="8" style="332"/>
    <col min="2542" max="2542" width="0" style="332" hidden="1" customWidth="1"/>
    <col min="2543" max="2543" width="4.7109375" style="332" customWidth="1"/>
    <col min="2544" max="2544" width="72.5703125" style="332" customWidth="1"/>
    <col min="2545" max="2545" width="15.42578125" style="332" customWidth="1"/>
    <col min="2546" max="2546" width="16.28515625" style="332" customWidth="1"/>
    <col min="2547" max="2552" width="17.28515625" style="332" customWidth="1"/>
    <col min="2553" max="2559" width="0" style="332" hidden="1" customWidth="1"/>
    <col min="2560" max="2560" width="12.140625" style="332" customWidth="1"/>
    <col min="2561" max="2561" width="15.140625" style="332" customWidth="1"/>
    <col min="2562" max="2588" width="8" style="332" customWidth="1"/>
    <col min="2589" max="2797" width="8" style="332"/>
    <col min="2798" max="2798" width="0" style="332" hidden="1" customWidth="1"/>
    <col min="2799" max="2799" width="4.7109375" style="332" customWidth="1"/>
    <col min="2800" max="2800" width="72.5703125" style="332" customWidth="1"/>
    <col min="2801" max="2801" width="15.42578125" style="332" customWidth="1"/>
    <col min="2802" max="2802" width="16.28515625" style="332" customWidth="1"/>
    <col min="2803" max="2808" width="17.28515625" style="332" customWidth="1"/>
    <col min="2809" max="2815" width="0" style="332" hidden="1" customWidth="1"/>
    <col min="2816" max="2816" width="12.140625" style="332" customWidth="1"/>
    <col min="2817" max="2817" width="15.140625" style="332" customWidth="1"/>
    <col min="2818" max="2844" width="8" style="332" customWidth="1"/>
    <col min="2845" max="3053" width="8" style="332"/>
    <col min="3054" max="3054" width="0" style="332" hidden="1" customWidth="1"/>
    <col min="3055" max="3055" width="4.7109375" style="332" customWidth="1"/>
    <col min="3056" max="3056" width="72.5703125" style="332" customWidth="1"/>
    <col min="3057" max="3057" width="15.42578125" style="332" customWidth="1"/>
    <col min="3058" max="3058" width="16.28515625" style="332" customWidth="1"/>
    <col min="3059" max="3064" width="17.28515625" style="332" customWidth="1"/>
    <col min="3065" max="3071" width="0" style="332" hidden="1" customWidth="1"/>
    <col min="3072" max="3072" width="12.140625" style="332" customWidth="1"/>
    <col min="3073" max="3073" width="15.140625" style="332" customWidth="1"/>
    <col min="3074" max="3100" width="8" style="332" customWidth="1"/>
    <col min="3101" max="3309" width="8" style="332"/>
    <col min="3310" max="3310" width="0" style="332" hidden="1" customWidth="1"/>
    <col min="3311" max="3311" width="4.7109375" style="332" customWidth="1"/>
    <col min="3312" max="3312" width="72.5703125" style="332" customWidth="1"/>
    <col min="3313" max="3313" width="15.42578125" style="332" customWidth="1"/>
    <col min="3314" max="3314" width="16.28515625" style="332" customWidth="1"/>
    <col min="3315" max="3320" width="17.28515625" style="332" customWidth="1"/>
    <col min="3321" max="3327" width="0" style="332" hidden="1" customWidth="1"/>
    <col min="3328" max="3328" width="12.140625" style="332" customWidth="1"/>
    <col min="3329" max="3329" width="15.140625" style="332" customWidth="1"/>
    <col min="3330" max="3356" width="8" style="332" customWidth="1"/>
    <col min="3357" max="3565" width="8" style="332"/>
    <col min="3566" max="3566" width="0" style="332" hidden="1" customWidth="1"/>
    <col min="3567" max="3567" width="4.7109375" style="332" customWidth="1"/>
    <col min="3568" max="3568" width="72.5703125" style="332" customWidth="1"/>
    <col min="3569" max="3569" width="15.42578125" style="332" customWidth="1"/>
    <col min="3570" max="3570" width="16.28515625" style="332" customWidth="1"/>
    <col min="3571" max="3576" width="17.28515625" style="332" customWidth="1"/>
    <col min="3577" max="3583" width="0" style="332" hidden="1" customWidth="1"/>
    <col min="3584" max="3584" width="12.140625" style="332" customWidth="1"/>
    <col min="3585" max="3585" width="15.140625" style="332" customWidth="1"/>
    <col min="3586" max="3612" width="8" style="332" customWidth="1"/>
    <col min="3613" max="3821" width="8" style="332"/>
    <col min="3822" max="3822" width="0" style="332" hidden="1" customWidth="1"/>
    <col min="3823" max="3823" width="4.7109375" style="332" customWidth="1"/>
    <col min="3824" max="3824" width="72.5703125" style="332" customWidth="1"/>
    <col min="3825" max="3825" width="15.42578125" style="332" customWidth="1"/>
    <col min="3826" max="3826" width="16.28515625" style="332" customWidth="1"/>
    <col min="3827" max="3832" width="17.28515625" style="332" customWidth="1"/>
    <col min="3833" max="3839" width="0" style="332" hidden="1" customWidth="1"/>
    <col min="3840" max="3840" width="12.140625" style="332" customWidth="1"/>
    <col min="3841" max="3841" width="15.140625" style="332" customWidth="1"/>
    <col min="3842" max="3868" width="8" style="332" customWidth="1"/>
    <col min="3869" max="4077" width="8" style="332"/>
    <col min="4078" max="4078" width="0" style="332" hidden="1" customWidth="1"/>
    <col min="4079" max="4079" width="4.7109375" style="332" customWidth="1"/>
    <col min="4080" max="4080" width="72.5703125" style="332" customWidth="1"/>
    <col min="4081" max="4081" width="15.42578125" style="332" customWidth="1"/>
    <col min="4082" max="4082" width="16.28515625" style="332" customWidth="1"/>
    <col min="4083" max="4088" width="17.28515625" style="332" customWidth="1"/>
    <col min="4089" max="4095" width="0" style="332" hidden="1" customWidth="1"/>
    <col min="4096" max="4096" width="12.140625" style="332" customWidth="1"/>
    <col min="4097" max="4097" width="15.140625" style="332" customWidth="1"/>
    <col min="4098" max="4124" width="8" style="332" customWidth="1"/>
    <col min="4125" max="4333" width="8" style="332"/>
    <col min="4334" max="4334" width="0" style="332" hidden="1" customWidth="1"/>
    <col min="4335" max="4335" width="4.7109375" style="332" customWidth="1"/>
    <col min="4336" max="4336" width="72.5703125" style="332" customWidth="1"/>
    <col min="4337" max="4337" width="15.42578125" style="332" customWidth="1"/>
    <col min="4338" max="4338" width="16.28515625" style="332" customWidth="1"/>
    <col min="4339" max="4344" width="17.28515625" style="332" customWidth="1"/>
    <col min="4345" max="4351" width="0" style="332" hidden="1" customWidth="1"/>
    <col min="4352" max="4352" width="12.140625" style="332" customWidth="1"/>
    <col min="4353" max="4353" width="15.140625" style="332" customWidth="1"/>
    <col min="4354" max="4380" width="8" style="332" customWidth="1"/>
    <col min="4381" max="4589" width="8" style="332"/>
    <col min="4590" max="4590" width="0" style="332" hidden="1" customWidth="1"/>
    <col min="4591" max="4591" width="4.7109375" style="332" customWidth="1"/>
    <col min="4592" max="4592" width="72.5703125" style="332" customWidth="1"/>
    <col min="4593" max="4593" width="15.42578125" style="332" customWidth="1"/>
    <col min="4594" max="4594" width="16.28515625" style="332" customWidth="1"/>
    <col min="4595" max="4600" width="17.28515625" style="332" customWidth="1"/>
    <col min="4601" max="4607" width="0" style="332" hidden="1" customWidth="1"/>
    <col min="4608" max="4608" width="12.140625" style="332" customWidth="1"/>
    <col min="4609" max="4609" width="15.140625" style="332" customWidth="1"/>
    <col min="4610" max="4636" width="8" style="332" customWidth="1"/>
    <col min="4637" max="4845" width="8" style="332"/>
    <col min="4846" max="4846" width="0" style="332" hidden="1" customWidth="1"/>
    <col min="4847" max="4847" width="4.7109375" style="332" customWidth="1"/>
    <col min="4848" max="4848" width="72.5703125" style="332" customWidth="1"/>
    <col min="4849" max="4849" width="15.42578125" style="332" customWidth="1"/>
    <col min="4850" max="4850" width="16.28515625" style="332" customWidth="1"/>
    <col min="4851" max="4856" width="17.28515625" style="332" customWidth="1"/>
    <col min="4857" max="4863" width="0" style="332" hidden="1" customWidth="1"/>
    <col min="4864" max="4864" width="12.140625" style="332" customWidth="1"/>
    <col min="4865" max="4865" width="15.140625" style="332" customWidth="1"/>
    <col min="4866" max="4892" width="8" style="332" customWidth="1"/>
    <col min="4893" max="5101" width="8" style="332"/>
    <col min="5102" max="5102" width="0" style="332" hidden="1" customWidth="1"/>
    <col min="5103" max="5103" width="4.7109375" style="332" customWidth="1"/>
    <col min="5104" max="5104" width="72.5703125" style="332" customWidth="1"/>
    <col min="5105" max="5105" width="15.42578125" style="332" customWidth="1"/>
    <col min="5106" max="5106" width="16.28515625" style="332" customWidth="1"/>
    <col min="5107" max="5112" width="17.28515625" style="332" customWidth="1"/>
    <col min="5113" max="5119" width="0" style="332" hidden="1" customWidth="1"/>
    <col min="5120" max="5120" width="12.140625" style="332" customWidth="1"/>
    <col min="5121" max="5121" width="15.140625" style="332" customWidth="1"/>
    <col min="5122" max="5148" width="8" style="332" customWidth="1"/>
    <col min="5149" max="5357" width="8" style="332"/>
    <col min="5358" max="5358" width="0" style="332" hidden="1" customWidth="1"/>
    <col min="5359" max="5359" width="4.7109375" style="332" customWidth="1"/>
    <col min="5360" max="5360" width="72.5703125" style="332" customWidth="1"/>
    <col min="5361" max="5361" width="15.42578125" style="332" customWidth="1"/>
    <col min="5362" max="5362" width="16.28515625" style="332" customWidth="1"/>
    <col min="5363" max="5368" width="17.28515625" style="332" customWidth="1"/>
    <col min="5369" max="5375" width="0" style="332" hidden="1" customWidth="1"/>
    <col min="5376" max="5376" width="12.140625" style="332" customWidth="1"/>
    <col min="5377" max="5377" width="15.140625" style="332" customWidth="1"/>
    <col min="5378" max="5404" width="8" style="332" customWidth="1"/>
    <col min="5405" max="5613" width="8" style="332"/>
    <col min="5614" max="5614" width="0" style="332" hidden="1" customWidth="1"/>
    <col min="5615" max="5615" width="4.7109375" style="332" customWidth="1"/>
    <col min="5616" max="5616" width="72.5703125" style="332" customWidth="1"/>
    <col min="5617" max="5617" width="15.42578125" style="332" customWidth="1"/>
    <col min="5618" max="5618" width="16.28515625" style="332" customWidth="1"/>
    <col min="5619" max="5624" width="17.28515625" style="332" customWidth="1"/>
    <col min="5625" max="5631" width="0" style="332" hidden="1" customWidth="1"/>
    <col min="5632" max="5632" width="12.140625" style="332" customWidth="1"/>
    <col min="5633" max="5633" width="15.140625" style="332" customWidth="1"/>
    <col min="5634" max="5660" width="8" style="332" customWidth="1"/>
    <col min="5661" max="5869" width="8" style="332"/>
    <col min="5870" max="5870" width="0" style="332" hidden="1" customWidth="1"/>
    <col min="5871" max="5871" width="4.7109375" style="332" customWidth="1"/>
    <col min="5872" max="5872" width="72.5703125" style="332" customWidth="1"/>
    <col min="5873" max="5873" width="15.42578125" style="332" customWidth="1"/>
    <col min="5874" max="5874" width="16.28515625" style="332" customWidth="1"/>
    <col min="5875" max="5880" width="17.28515625" style="332" customWidth="1"/>
    <col min="5881" max="5887" width="0" style="332" hidden="1" customWidth="1"/>
    <col min="5888" max="5888" width="12.140625" style="332" customWidth="1"/>
    <col min="5889" max="5889" width="15.140625" style="332" customWidth="1"/>
    <col min="5890" max="5916" width="8" style="332" customWidth="1"/>
    <col min="5917" max="6125" width="8" style="332"/>
    <col min="6126" max="6126" width="0" style="332" hidden="1" customWidth="1"/>
    <col min="6127" max="6127" width="4.7109375" style="332" customWidth="1"/>
    <col min="6128" max="6128" width="72.5703125" style="332" customWidth="1"/>
    <col min="6129" max="6129" width="15.42578125" style="332" customWidth="1"/>
    <col min="6130" max="6130" width="16.28515625" style="332" customWidth="1"/>
    <col min="6131" max="6136" width="17.28515625" style="332" customWidth="1"/>
    <col min="6137" max="6143" width="0" style="332" hidden="1" customWidth="1"/>
    <col min="6144" max="6144" width="12.140625" style="332" customWidth="1"/>
    <col min="6145" max="6145" width="15.140625" style="332" customWidth="1"/>
    <col min="6146" max="6172" width="8" style="332" customWidth="1"/>
    <col min="6173" max="6381" width="8" style="332"/>
    <col min="6382" max="6382" width="0" style="332" hidden="1" customWidth="1"/>
    <col min="6383" max="6383" width="4.7109375" style="332" customWidth="1"/>
    <col min="6384" max="6384" width="72.5703125" style="332" customWidth="1"/>
    <col min="6385" max="6385" width="15.42578125" style="332" customWidth="1"/>
    <col min="6386" max="6386" width="16.28515625" style="332" customWidth="1"/>
    <col min="6387" max="6392" width="17.28515625" style="332" customWidth="1"/>
    <col min="6393" max="6399" width="0" style="332" hidden="1" customWidth="1"/>
    <col min="6400" max="6400" width="12.140625" style="332" customWidth="1"/>
    <col min="6401" max="6401" width="15.140625" style="332" customWidth="1"/>
    <col min="6402" max="6428" width="8" style="332" customWidth="1"/>
    <col min="6429" max="6637" width="8" style="332"/>
    <col min="6638" max="6638" width="0" style="332" hidden="1" customWidth="1"/>
    <col min="6639" max="6639" width="4.7109375" style="332" customWidth="1"/>
    <col min="6640" max="6640" width="72.5703125" style="332" customWidth="1"/>
    <col min="6641" max="6641" width="15.42578125" style="332" customWidth="1"/>
    <col min="6642" max="6642" width="16.28515625" style="332" customWidth="1"/>
    <col min="6643" max="6648" width="17.28515625" style="332" customWidth="1"/>
    <col min="6649" max="6655" width="0" style="332" hidden="1" customWidth="1"/>
    <col min="6656" max="6656" width="12.140625" style="332" customWidth="1"/>
    <col min="6657" max="6657" width="15.140625" style="332" customWidth="1"/>
    <col min="6658" max="6684" width="8" style="332" customWidth="1"/>
    <col min="6685" max="6893" width="8" style="332"/>
    <col min="6894" max="6894" width="0" style="332" hidden="1" customWidth="1"/>
    <col min="6895" max="6895" width="4.7109375" style="332" customWidth="1"/>
    <col min="6896" max="6896" width="72.5703125" style="332" customWidth="1"/>
    <col min="6897" max="6897" width="15.42578125" style="332" customWidth="1"/>
    <col min="6898" max="6898" width="16.28515625" style="332" customWidth="1"/>
    <col min="6899" max="6904" width="17.28515625" style="332" customWidth="1"/>
    <col min="6905" max="6911" width="0" style="332" hidden="1" customWidth="1"/>
    <col min="6912" max="6912" width="12.140625" style="332" customWidth="1"/>
    <col min="6913" max="6913" width="15.140625" style="332" customWidth="1"/>
    <col min="6914" max="6940" width="8" style="332" customWidth="1"/>
    <col min="6941" max="7149" width="8" style="332"/>
    <col min="7150" max="7150" width="0" style="332" hidden="1" customWidth="1"/>
    <col min="7151" max="7151" width="4.7109375" style="332" customWidth="1"/>
    <col min="7152" max="7152" width="72.5703125" style="332" customWidth="1"/>
    <col min="7153" max="7153" width="15.42578125" style="332" customWidth="1"/>
    <col min="7154" max="7154" width="16.28515625" style="332" customWidth="1"/>
    <col min="7155" max="7160" width="17.28515625" style="332" customWidth="1"/>
    <col min="7161" max="7167" width="0" style="332" hidden="1" customWidth="1"/>
    <col min="7168" max="7168" width="12.140625" style="332" customWidth="1"/>
    <col min="7169" max="7169" width="15.140625" style="332" customWidth="1"/>
    <col min="7170" max="7196" width="8" style="332" customWidth="1"/>
    <col min="7197" max="7405" width="8" style="332"/>
    <col min="7406" max="7406" width="0" style="332" hidden="1" customWidth="1"/>
    <col min="7407" max="7407" width="4.7109375" style="332" customWidth="1"/>
    <col min="7408" max="7408" width="72.5703125" style="332" customWidth="1"/>
    <col min="7409" max="7409" width="15.42578125" style="332" customWidth="1"/>
    <col min="7410" max="7410" width="16.28515625" style="332" customWidth="1"/>
    <col min="7411" max="7416" width="17.28515625" style="332" customWidth="1"/>
    <col min="7417" max="7423" width="0" style="332" hidden="1" customWidth="1"/>
    <col min="7424" max="7424" width="12.140625" style="332" customWidth="1"/>
    <col min="7425" max="7425" width="15.140625" style="332" customWidth="1"/>
    <col min="7426" max="7452" width="8" style="332" customWidth="1"/>
    <col min="7453" max="7661" width="8" style="332"/>
    <col min="7662" max="7662" width="0" style="332" hidden="1" customWidth="1"/>
    <col min="7663" max="7663" width="4.7109375" style="332" customWidth="1"/>
    <col min="7664" max="7664" width="72.5703125" style="332" customWidth="1"/>
    <col min="7665" max="7665" width="15.42578125" style="332" customWidth="1"/>
    <col min="7666" max="7666" width="16.28515625" style="332" customWidth="1"/>
    <col min="7667" max="7672" width="17.28515625" style="332" customWidth="1"/>
    <col min="7673" max="7679" width="0" style="332" hidden="1" customWidth="1"/>
    <col min="7680" max="7680" width="12.140625" style="332" customWidth="1"/>
    <col min="7681" max="7681" width="15.140625" style="332" customWidth="1"/>
    <col min="7682" max="7708" width="8" style="332" customWidth="1"/>
    <col min="7709" max="7917" width="8" style="332"/>
    <col min="7918" max="7918" width="0" style="332" hidden="1" customWidth="1"/>
    <col min="7919" max="7919" width="4.7109375" style="332" customWidth="1"/>
    <col min="7920" max="7920" width="72.5703125" style="332" customWidth="1"/>
    <col min="7921" max="7921" width="15.42578125" style="332" customWidth="1"/>
    <col min="7922" max="7922" width="16.28515625" style="332" customWidth="1"/>
    <col min="7923" max="7928" width="17.28515625" style="332" customWidth="1"/>
    <col min="7929" max="7935" width="0" style="332" hidden="1" customWidth="1"/>
    <col min="7936" max="7936" width="12.140625" style="332" customWidth="1"/>
    <col min="7937" max="7937" width="15.140625" style="332" customWidth="1"/>
    <col min="7938" max="7964" width="8" style="332" customWidth="1"/>
    <col min="7965" max="8173" width="8" style="332"/>
    <col min="8174" max="8174" width="0" style="332" hidden="1" customWidth="1"/>
    <col min="8175" max="8175" width="4.7109375" style="332" customWidth="1"/>
    <col min="8176" max="8176" width="72.5703125" style="332" customWidth="1"/>
    <col min="8177" max="8177" width="15.42578125" style="332" customWidth="1"/>
    <col min="8178" max="8178" width="16.28515625" style="332" customWidth="1"/>
    <col min="8179" max="8184" width="17.28515625" style="332" customWidth="1"/>
    <col min="8185" max="8191" width="0" style="332" hidden="1" customWidth="1"/>
    <col min="8192" max="8192" width="12.140625" style="332" customWidth="1"/>
    <col min="8193" max="8193" width="15.140625" style="332" customWidth="1"/>
    <col min="8194" max="8220" width="8" style="332" customWidth="1"/>
    <col min="8221" max="8429" width="8" style="332"/>
    <col min="8430" max="8430" width="0" style="332" hidden="1" customWidth="1"/>
    <col min="8431" max="8431" width="4.7109375" style="332" customWidth="1"/>
    <col min="8432" max="8432" width="72.5703125" style="332" customWidth="1"/>
    <col min="8433" max="8433" width="15.42578125" style="332" customWidth="1"/>
    <col min="8434" max="8434" width="16.28515625" style="332" customWidth="1"/>
    <col min="8435" max="8440" width="17.28515625" style="332" customWidth="1"/>
    <col min="8441" max="8447" width="0" style="332" hidden="1" customWidth="1"/>
    <col min="8448" max="8448" width="12.140625" style="332" customWidth="1"/>
    <col min="8449" max="8449" width="15.140625" style="332" customWidth="1"/>
    <col min="8450" max="8476" width="8" style="332" customWidth="1"/>
    <col min="8477" max="8685" width="8" style="332"/>
    <col min="8686" max="8686" width="0" style="332" hidden="1" customWidth="1"/>
    <col min="8687" max="8687" width="4.7109375" style="332" customWidth="1"/>
    <col min="8688" max="8688" width="72.5703125" style="332" customWidth="1"/>
    <col min="8689" max="8689" width="15.42578125" style="332" customWidth="1"/>
    <col min="8690" max="8690" width="16.28515625" style="332" customWidth="1"/>
    <col min="8691" max="8696" width="17.28515625" style="332" customWidth="1"/>
    <col min="8697" max="8703" width="0" style="332" hidden="1" customWidth="1"/>
    <col min="8704" max="8704" width="12.140625" style="332" customWidth="1"/>
    <col min="8705" max="8705" width="15.140625" style="332" customWidth="1"/>
    <col min="8706" max="8732" width="8" style="332" customWidth="1"/>
    <col min="8733" max="8941" width="8" style="332"/>
    <col min="8942" max="8942" width="0" style="332" hidden="1" customWidth="1"/>
    <col min="8943" max="8943" width="4.7109375" style="332" customWidth="1"/>
    <col min="8944" max="8944" width="72.5703125" style="332" customWidth="1"/>
    <col min="8945" max="8945" width="15.42578125" style="332" customWidth="1"/>
    <col min="8946" max="8946" width="16.28515625" style="332" customWidth="1"/>
    <col min="8947" max="8952" width="17.28515625" style="332" customWidth="1"/>
    <col min="8953" max="8959" width="0" style="332" hidden="1" customWidth="1"/>
    <col min="8960" max="8960" width="12.140625" style="332" customWidth="1"/>
    <col min="8961" max="8961" width="15.140625" style="332" customWidth="1"/>
    <col min="8962" max="8988" width="8" style="332" customWidth="1"/>
    <col min="8989" max="9197" width="8" style="332"/>
    <col min="9198" max="9198" width="0" style="332" hidden="1" customWidth="1"/>
    <col min="9199" max="9199" width="4.7109375" style="332" customWidth="1"/>
    <col min="9200" max="9200" width="72.5703125" style="332" customWidth="1"/>
    <col min="9201" max="9201" width="15.42578125" style="332" customWidth="1"/>
    <col min="9202" max="9202" width="16.28515625" style="332" customWidth="1"/>
    <col min="9203" max="9208" width="17.28515625" style="332" customWidth="1"/>
    <col min="9209" max="9215" width="0" style="332" hidden="1" customWidth="1"/>
    <col min="9216" max="9216" width="12.140625" style="332" customWidth="1"/>
    <col min="9217" max="9217" width="15.140625" style="332" customWidth="1"/>
    <col min="9218" max="9244" width="8" style="332" customWidth="1"/>
    <col min="9245" max="9453" width="8" style="332"/>
    <col min="9454" max="9454" width="0" style="332" hidden="1" customWidth="1"/>
    <col min="9455" max="9455" width="4.7109375" style="332" customWidth="1"/>
    <col min="9456" max="9456" width="72.5703125" style="332" customWidth="1"/>
    <col min="9457" max="9457" width="15.42578125" style="332" customWidth="1"/>
    <col min="9458" max="9458" width="16.28515625" style="332" customWidth="1"/>
    <col min="9459" max="9464" width="17.28515625" style="332" customWidth="1"/>
    <col min="9465" max="9471" width="0" style="332" hidden="1" customWidth="1"/>
    <col min="9472" max="9472" width="12.140625" style="332" customWidth="1"/>
    <col min="9473" max="9473" width="15.140625" style="332" customWidth="1"/>
    <col min="9474" max="9500" width="8" style="332" customWidth="1"/>
    <col min="9501" max="9709" width="8" style="332"/>
    <col min="9710" max="9710" width="0" style="332" hidden="1" customWidth="1"/>
    <col min="9711" max="9711" width="4.7109375" style="332" customWidth="1"/>
    <col min="9712" max="9712" width="72.5703125" style="332" customWidth="1"/>
    <col min="9713" max="9713" width="15.42578125" style="332" customWidth="1"/>
    <col min="9714" max="9714" width="16.28515625" style="332" customWidth="1"/>
    <col min="9715" max="9720" width="17.28515625" style="332" customWidth="1"/>
    <col min="9721" max="9727" width="0" style="332" hidden="1" customWidth="1"/>
    <col min="9728" max="9728" width="12.140625" style="332" customWidth="1"/>
    <col min="9729" max="9729" width="15.140625" style="332" customWidth="1"/>
    <col min="9730" max="9756" width="8" style="332" customWidth="1"/>
    <col min="9757" max="9965" width="8" style="332"/>
    <col min="9966" max="9966" width="0" style="332" hidden="1" customWidth="1"/>
    <col min="9967" max="9967" width="4.7109375" style="332" customWidth="1"/>
    <col min="9968" max="9968" width="72.5703125" style="332" customWidth="1"/>
    <col min="9969" max="9969" width="15.42578125" style="332" customWidth="1"/>
    <col min="9970" max="9970" width="16.28515625" style="332" customWidth="1"/>
    <col min="9971" max="9976" width="17.28515625" style="332" customWidth="1"/>
    <col min="9977" max="9983" width="0" style="332" hidden="1" customWidth="1"/>
    <col min="9984" max="9984" width="12.140625" style="332" customWidth="1"/>
    <col min="9985" max="9985" width="15.140625" style="332" customWidth="1"/>
    <col min="9986" max="10012" width="8" style="332" customWidth="1"/>
    <col min="10013" max="10221" width="8" style="332"/>
    <col min="10222" max="10222" width="0" style="332" hidden="1" customWidth="1"/>
    <col min="10223" max="10223" width="4.7109375" style="332" customWidth="1"/>
    <col min="10224" max="10224" width="72.5703125" style="332" customWidth="1"/>
    <col min="10225" max="10225" width="15.42578125" style="332" customWidth="1"/>
    <col min="10226" max="10226" width="16.28515625" style="332" customWidth="1"/>
    <col min="10227" max="10232" width="17.28515625" style="332" customWidth="1"/>
    <col min="10233" max="10239" width="0" style="332" hidden="1" customWidth="1"/>
    <col min="10240" max="10240" width="12.140625" style="332" customWidth="1"/>
    <col min="10241" max="10241" width="15.140625" style="332" customWidth="1"/>
    <col min="10242" max="10268" width="8" style="332" customWidth="1"/>
    <col min="10269" max="10477" width="8" style="332"/>
    <col min="10478" max="10478" width="0" style="332" hidden="1" customWidth="1"/>
    <col min="10479" max="10479" width="4.7109375" style="332" customWidth="1"/>
    <col min="10480" max="10480" width="72.5703125" style="332" customWidth="1"/>
    <col min="10481" max="10481" width="15.42578125" style="332" customWidth="1"/>
    <col min="10482" max="10482" width="16.28515625" style="332" customWidth="1"/>
    <col min="10483" max="10488" width="17.28515625" style="332" customWidth="1"/>
    <col min="10489" max="10495" width="0" style="332" hidden="1" customWidth="1"/>
    <col min="10496" max="10496" width="12.140625" style="332" customWidth="1"/>
    <col min="10497" max="10497" width="15.140625" style="332" customWidth="1"/>
    <col min="10498" max="10524" width="8" style="332" customWidth="1"/>
    <col min="10525" max="10733" width="8" style="332"/>
    <col min="10734" max="10734" width="0" style="332" hidden="1" customWidth="1"/>
    <col min="10735" max="10735" width="4.7109375" style="332" customWidth="1"/>
    <col min="10736" max="10736" width="72.5703125" style="332" customWidth="1"/>
    <col min="10737" max="10737" width="15.42578125" style="332" customWidth="1"/>
    <col min="10738" max="10738" width="16.28515625" style="332" customWidth="1"/>
    <col min="10739" max="10744" width="17.28515625" style="332" customWidth="1"/>
    <col min="10745" max="10751" width="0" style="332" hidden="1" customWidth="1"/>
    <col min="10752" max="10752" width="12.140625" style="332" customWidth="1"/>
    <col min="10753" max="10753" width="15.140625" style="332" customWidth="1"/>
    <col min="10754" max="10780" width="8" style="332" customWidth="1"/>
    <col min="10781" max="10989" width="8" style="332"/>
    <col min="10990" max="10990" width="0" style="332" hidden="1" customWidth="1"/>
    <col min="10991" max="10991" width="4.7109375" style="332" customWidth="1"/>
    <col min="10992" max="10992" width="72.5703125" style="332" customWidth="1"/>
    <col min="10993" max="10993" width="15.42578125" style="332" customWidth="1"/>
    <col min="10994" max="10994" width="16.28515625" style="332" customWidth="1"/>
    <col min="10995" max="11000" width="17.28515625" style="332" customWidth="1"/>
    <col min="11001" max="11007" width="0" style="332" hidden="1" customWidth="1"/>
    <col min="11008" max="11008" width="12.140625" style="332" customWidth="1"/>
    <col min="11009" max="11009" width="15.140625" style="332" customWidth="1"/>
    <col min="11010" max="11036" width="8" style="332" customWidth="1"/>
    <col min="11037" max="11245" width="8" style="332"/>
    <col min="11246" max="11246" width="0" style="332" hidden="1" customWidth="1"/>
    <col min="11247" max="11247" width="4.7109375" style="332" customWidth="1"/>
    <col min="11248" max="11248" width="72.5703125" style="332" customWidth="1"/>
    <col min="11249" max="11249" width="15.42578125" style="332" customWidth="1"/>
    <col min="11250" max="11250" width="16.28515625" style="332" customWidth="1"/>
    <col min="11251" max="11256" width="17.28515625" style="332" customWidth="1"/>
    <col min="11257" max="11263" width="0" style="332" hidden="1" customWidth="1"/>
    <col min="11264" max="11264" width="12.140625" style="332" customWidth="1"/>
    <col min="11265" max="11265" width="15.140625" style="332" customWidth="1"/>
    <col min="11266" max="11292" width="8" style="332" customWidth="1"/>
    <col min="11293" max="11501" width="8" style="332"/>
    <col min="11502" max="11502" width="0" style="332" hidden="1" customWidth="1"/>
    <col min="11503" max="11503" width="4.7109375" style="332" customWidth="1"/>
    <col min="11504" max="11504" width="72.5703125" style="332" customWidth="1"/>
    <col min="11505" max="11505" width="15.42578125" style="332" customWidth="1"/>
    <col min="11506" max="11506" width="16.28515625" style="332" customWidth="1"/>
    <col min="11507" max="11512" width="17.28515625" style="332" customWidth="1"/>
    <col min="11513" max="11519" width="0" style="332" hidden="1" customWidth="1"/>
    <col min="11520" max="11520" width="12.140625" style="332" customWidth="1"/>
    <col min="11521" max="11521" width="15.140625" style="332" customWidth="1"/>
    <col min="11522" max="11548" width="8" style="332" customWidth="1"/>
    <col min="11549" max="11757" width="8" style="332"/>
    <col min="11758" max="11758" width="0" style="332" hidden="1" customWidth="1"/>
    <col min="11759" max="11759" width="4.7109375" style="332" customWidth="1"/>
    <col min="11760" max="11760" width="72.5703125" style="332" customWidth="1"/>
    <col min="11761" max="11761" width="15.42578125" style="332" customWidth="1"/>
    <col min="11762" max="11762" width="16.28515625" style="332" customWidth="1"/>
    <col min="11763" max="11768" width="17.28515625" style="332" customWidth="1"/>
    <col min="11769" max="11775" width="0" style="332" hidden="1" customWidth="1"/>
    <col min="11776" max="11776" width="12.140625" style="332" customWidth="1"/>
    <col min="11777" max="11777" width="15.140625" style="332" customWidth="1"/>
    <col min="11778" max="11804" width="8" style="332" customWidth="1"/>
    <col min="11805" max="12013" width="8" style="332"/>
    <col min="12014" max="12014" width="0" style="332" hidden="1" customWidth="1"/>
    <col min="12015" max="12015" width="4.7109375" style="332" customWidth="1"/>
    <col min="12016" max="12016" width="72.5703125" style="332" customWidth="1"/>
    <col min="12017" max="12017" width="15.42578125" style="332" customWidth="1"/>
    <col min="12018" max="12018" width="16.28515625" style="332" customWidth="1"/>
    <col min="12019" max="12024" width="17.28515625" style="332" customWidth="1"/>
    <col min="12025" max="12031" width="0" style="332" hidden="1" customWidth="1"/>
    <col min="12032" max="12032" width="12.140625" style="332" customWidth="1"/>
    <col min="12033" max="12033" width="15.140625" style="332" customWidth="1"/>
    <col min="12034" max="12060" width="8" style="332" customWidth="1"/>
    <col min="12061" max="12269" width="8" style="332"/>
    <col min="12270" max="12270" width="0" style="332" hidden="1" customWidth="1"/>
    <col min="12271" max="12271" width="4.7109375" style="332" customWidth="1"/>
    <col min="12272" max="12272" width="72.5703125" style="332" customWidth="1"/>
    <col min="12273" max="12273" width="15.42578125" style="332" customWidth="1"/>
    <col min="12274" max="12274" width="16.28515625" style="332" customWidth="1"/>
    <col min="12275" max="12280" width="17.28515625" style="332" customWidth="1"/>
    <col min="12281" max="12287" width="0" style="332" hidden="1" customWidth="1"/>
    <col min="12288" max="12288" width="12.140625" style="332" customWidth="1"/>
    <col min="12289" max="12289" width="15.140625" style="332" customWidth="1"/>
    <col min="12290" max="12316" width="8" style="332" customWidth="1"/>
    <col min="12317" max="12525" width="8" style="332"/>
    <col min="12526" max="12526" width="0" style="332" hidden="1" customWidth="1"/>
    <col min="12527" max="12527" width="4.7109375" style="332" customWidth="1"/>
    <col min="12528" max="12528" width="72.5703125" style="332" customWidth="1"/>
    <col min="12529" max="12529" width="15.42578125" style="332" customWidth="1"/>
    <col min="12530" max="12530" width="16.28515625" style="332" customWidth="1"/>
    <col min="12531" max="12536" width="17.28515625" style="332" customWidth="1"/>
    <col min="12537" max="12543" width="0" style="332" hidden="1" customWidth="1"/>
    <col min="12544" max="12544" width="12.140625" style="332" customWidth="1"/>
    <col min="12545" max="12545" width="15.140625" style="332" customWidth="1"/>
    <col min="12546" max="12572" width="8" style="332" customWidth="1"/>
    <col min="12573" max="12781" width="8" style="332"/>
    <col min="12782" max="12782" width="0" style="332" hidden="1" customWidth="1"/>
    <col min="12783" max="12783" width="4.7109375" style="332" customWidth="1"/>
    <col min="12784" max="12784" width="72.5703125" style="332" customWidth="1"/>
    <col min="12785" max="12785" width="15.42578125" style="332" customWidth="1"/>
    <col min="12786" max="12786" width="16.28515625" style="332" customWidth="1"/>
    <col min="12787" max="12792" width="17.28515625" style="332" customWidth="1"/>
    <col min="12793" max="12799" width="0" style="332" hidden="1" customWidth="1"/>
    <col min="12800" max="12800" width="12.140625" style="332" customWidth="1"/>
    <col min="12801" max="12801" width="15.140625" style="332" customWidth="1"/>
    <col min="12802" max="12828" width="8" style="332" customWidth="1"/>
    <col min="12829" max="13037" width="8" style="332"/>
    <col min="13038" max="13038" width="0" style="332" hidden="1" customWidth="1"/>
    <col min="13039" max="13039" width="4.7109375" style="332" customWidth="1"/>
    <col min="13040" max="13040" width="72.5703125" style="332" customWidth="1"/>
    <col min="13041" max="13041" width="15.42578125" style="332" customWidth="1"/>
    <col min="13042" max="13042" width="16.28515625" style="332" customWidth="1"/>
    <col min="13043" max="13048" width="17.28515625" style="332" customWidth="1"/>
    <col min="13049" max="13055" width="0" style="332" hidden="1" customWidth="1"/>
    <col min="13056" max="13056" width="12.140625" style="332" customWidth="1"/>
    <col min="13057" max="13057" width="15.140625" style="332" customWidth="1"/>
    <col min="13058" max="13084" width="8" style="332" customWidth="1"/>
    <col min="13085" max="13293" width="8" style="332"/>
    <col min="13294" max="13294" width="0" style="332" hidden="1" customWidth="1"/>
    <col min="13295" max="13295" width="4.7109375" style="332" customWidth="1"/>
    <col min="13296" max="13296" width="72.5703125" style="332" customWidth="1"/>
    <col min="13297" max="13297" width="15.42578125" style="332" customWidth="1"/>
    <col min="13298" max="13298" width="16.28515625" style="332" customWidth="1"/>
    <col min="13299" max="13304" width="17.28515625" style="332" customWidth="1"/>
    <col min="13305" max="13311" width="0" style="332" hidden="1" customWidth="1"/>
    <col min="13312" max="13312" width="12.140625" style="332" customWidth="1"/>
    <col min="13313" max="13313" width="15.140625" style="332" customWidth="1"/>
    <col min="13314" max="13340" width="8" style="332" customWidth="1"/>
    <col min="13341" max="13549" width="8" style="332"/>
    <col min="13550" max="13550" width="0" style="332" hidden="1" customWidth="1"/>
    <col min="13551" max="13551" width="4.7109375" style="332" customWidth="1"/>
    <col min="13552" max="13552" width="72.5703125" style="332" customWidth="1"/>
    <col min="13553" max="13553" width="15.42578125" style="332" customWidth="1"/>
    <col min="13554" max="13554" width="16.28515625" style="332" customWidth="1"/>
    <col min="13555" max="13560" width="17.28515625" style="332" customWidth="1"/>
    <col min="13561" max="13567" width="0" style="332" hidden="1" customWidth="1"/>
    <col min="13568" max="13568" width="12.140625" style="332" customWidth="1"/>
    <col min="13569" max="13569" width="15.140625" style="332" customWidth="1"/>
    <col min="13570" max="13596" width="8" style="332" customWidth="1"/>
    <col min="13597" max="13805" width="8" style="332"/>
    <col min="13806" max="13806" width="0" style="332" hidden="1" customWidth="1"/>
    <col min="13807" max="13807" width="4.7109375" style="332" customWidth="1"/>
    <col min="13808" max="13808" width="72.5703125" style="332" customWidth="1"/>
    <col min="13809" max="13809" width="15.42578125" style="332" customWidth="1"/>
    <col min="13810" max="13810" width="16.28515625" style="332" customWidth="1"/>
    <col min="13811" max="13816" width="17.28515625" style="332" customWidth="1"/>
    <col min="13817" max="13823" width="0" style="332" hidden="1" customWidth="1"/>
    <col min="13824" max="13824" width="12.140625" style="332" customWidth="1"/>
    <col min="13825" max="13825" width="15.140625" style="332" customWidth="1"/>
    <col min="13826" max="13852" width="8" style="332" customWidth="1"/>
    <col min="13853" max="14061" width="8" style="332"/>
    <col min="14062" max="14062" width="0" style="332" hidden="1" customWidth="1"/>
    <col min="14063" max="14063" width="4.7109375" style="332" customWidth="1"/>
    <col min="14064" max="14064" width="72.5703125" style="332" customWidth="1"/>
    <col min="14065" max="14065" width="15.42578125" style="332" customWidth="1"/>
    <col min="14066" max="14066" width="16.28515625" style="332" customWidth="1"/>
    <col min="14067" max="14072" width="17.28515625" style="332" customWidth="1"/>
    <col min="14073" max="14079" width="0" style="332" hidden="1" customWidth="1"/>
    <col min="14080" max="14080" width="12.140625" style="332" customWidth="1"/>
    <col min="14081" max="14081" width="15.140625" style="332" customWidth="1"/>
    <col min="14082" max="14108" width="8" style="332" customWidth="1"/>
    <col min="14109" max="14317" width="8" style="332"/>
    <col min="14318" max="14318" width="0" style="332" hidden="1" customWidth="1"/>
    <col min="14319" max="14319" width="4.7109375" style="332" customWidth="1"/>
    <col min="14320" max="14320" width="72.5703125" style="332" customWidth="1"/>
    <col min="14321" max="14321" width="15.42578125" style="332" customWidth="1"/>
    <col min="14322" max="14322" width="16.28515625" style="332" customWidth="1"/>
    <col min="14323" max="14328" width="17.28515625" style="332" customWidth="1"/>
    <col min="14329" max="14335" width="0" style="332" hidden="1" customWidth="1"/>
    <col min="14336" max="14336" width="12.140625" style="332" customWidth="1"/>
    <col min="14337" max="14337" width="15.140625" style="332" customWidth="1"/>
    <col min="14338" max="14364" width="8" style="332" customWidth="1"/>
    <col min="14365" max="14573" width="8" style="332"/>
    <col min="14574" max="14574" width="0" style="332" hidden="1" customWidth="1"/>
    <col min="14575" max="14575" width="4.7109375" style="332" customWidth="1"/>
    <col min="14576" max="14576" width="72.5703125" style="332" customWidth="1"/>
    <col min="14577" max="14577" width="15.42578125" style="332" customWidth="1"/>
    <col min="14578" max="14578" width="16.28515625" style="332" customWidth="1"/>
    <col min="14579" max="14584" width="17.28515625" style="332" customWidth="1"/>
    <col min="14585" max="14591" width="0" style="332" hidden="1" customWidth="1"/>
    <col min="14592" max="14592" width="12.140625" style="332" customWidth="1"/>
    <col min="14593" max="14593" width="15.140625" style="332" customWidth="1"/>
    <col min="14594" max="14620" width="8" style="332" customWidth="1"/>
    <col min="14621" max="14829" width="8" style="332"/>
    <col min="14830" max="14830" width="0" style="332" hidden="1" customWidth="1"/>
    <col min="14831" max="14831" width="4.7109375" style="332" customWidth="1"/>
    <col min="14832" max="14832" width="72.5703125" style="332" customWidth="1"/>
    <col min="14833" max="14833" width="15.42578125" style="332" customWidth="1"/>
    <col min="14834" max="14834" width="16.28515625" style="332" customWidth="1"/>
    <col min="14835" max="14840" width="17.28515625" style="332" customWidth="1"/>
    <col min="14841" max="14847" width="0" style="332" hidden="1" customWidth="1"/>
    <col min="14848" max="14848" width="12.140625" style="332" customWidth="1"/>
    <col min="14849" max="14849" width="15.140625" style="332" customWidth="1"/>
    <col min="14850" max="14876" width="8" style="332" customWidth="1"/>
    <col min="14877" max="15085" width="8" style="332"/>
    <col min="15086" max="15086" width="0" style="332" hidden="1" customWidth="1"/>
    <col min="15087" max="15087" width="4.7109375" style="332" customWidth="1"/>
    <col min="15088" max="15088" width="72.5703125" style="332" customWidth="1"/>
    <col min="15089" max="15089" width="15.42578125" style="332" customWidth="1"/>
    <col min="15090" max="15090" width="16.28515625" style="332" customWidth="1"/>
    <col min="15091" max="15096" width="17.28515625" style="332" customWidth="1"/>
    <col min="15097" max="15103" width="0" style="332" hidden="1" customWidth="1"/>
    <col min="15104" max="15104" width="12.140625" style="332" customWidth="1"/>
    <col min="15105" max="15105" width="15.140625" style="332" customWidth="1"/>
    <col min="15106" max="15132" width="8" style="332" customWidth="1"/>
    <col min="15133" max="15341" width="8" style="332"/>
    <col min="15342" max="15342" width="0" style="332" hidden="1" customWidth="1"/>
    <col min="15343" max="15343" width="4.7109375" style="332" customWidth="1"/>
    <col min="15344" max="15344" width="72.5703125" style="332" customWidth="1"/>
    <col min="15345" max="15345" width="15.42578125" style="332" customWidth="1"/>
    <col min="15346" max="15346" width="16.28515625" style="332" customWidth="1"/>
    <col min="15347" max="15352" width="17.28515625" style="332" customWidth="1"/>
    <col min="15353" max="15359" width="0" style="332" hidden="1" customWidth="1"/>
    <col min="15360" max="15360" width="12.140625" style="332" customWidth="1"/>
    <col min="15361" max="15361" width="15.140625" style="332" customWidth="1"/>
    <col min="15362" max="15388" width="8" style="332" customWidth="1"/>
    <col min="15389" max="15597" width="8" style="332"/>
    <col min="15598" max="15598" width="0" style="332" hidden="1" customWidth="1"/>
    <col min="15599" max="15599" width="4.7109375" style="332" customWidth="1"/>
    <col min="15600" max="15600" width="72.5703125" style="332" customWidth="1"/>
    <col min="15601" max="15601" width="15.42578125" style="332" customWidth="1"/>
    <col min="15602" max="15602" width="16.28515625" style="332" customWidth="1"/>
    <col min="15603" max="15608" width="17.28515625" style="332" customWidth="1"/>
    <col min="15609" max="15615" width="0" style="332" hidden="1" customWidth="1"/>
    <col min="15616" max="15616" width="12.140625" style="332" customWidth="1"/>
    <col min="15617" max="15617" width="15.140625" style="332" customWidth="1"/>
    <col min="15618" max="15644" width="8" style="332" customWidth="1"/>
    <col min="15645" max="15853" width="8" style="332"/>
    <col min="15854" max="15854" width="0" style="332" hidden="1" customWidth="1"/>
    <col min="15855" max="15855" width="4.7109375" style="332" customWidth="1"/>
    <col min="15856" max="15856" width="72.5703125" style="332" customWidth="1"/>
    <col min="15857" max="15857" width="15.42578125" style="332" customWidth="1"/>
    <col min="15858" max="15858" width="16.28515625" style="332" customWidth="1"/>
    <col min="15859" max="15864" width="17.28515625" style="332" customWidth="1"/>
    <col min="15865" max="15871" width="0" style="332" hidden="1" customWidth="1"/>
    <col min="15872" max="15872" width="12.140625" style="332" customWidth="1"/>
    <col min="15873" max="15873" width="15.140625" style="332" customWidth="1"/>
    <col min="15874" max="15900" width="8" style="332" customWidth="1"/>
    <col min="15901" max="16109" width="8" style="332"/>
    <col min="16110" max="16110" width="0" style="332" hidden="1" customWidth="1"/>
    <col min="16111" max="16111" width="4.7109375" style="332" customWidth="1"/>
    <col min="16112" max="16112" width="72.5703125" style="332" customWidth="1"/>
    <col min="16113" max="16113" width="15.42578125" style="332" customWidth="1"/>
    <col min="16114" max="16114" width="16.28515625" style="332" customWidth="1"/>
    <col min="16115" max="16120" width="17.28515625" style="332" customWidth="1"/>
    <col min="16121" max="16127" width="0" style="332" hidden="1" customWidth="1"/>
    <col min="16128" max="16128" width="12.140625" style="332" customWidth="1"/>
    <col min="16129" max="16129" width="15.140625" style="332" customWidth="1"/>
    <col min="16130" max="16156" width="8" style="332" customWidth="1"/>
    <col min="16157" max="16384" width="8" style="332"/>
  </cols>
  <sheetData>
    <row r="1" spans="1:236" x14ac:dyDescent="0.2">
      <c r="K1" s="331"/>
    </row>
    <row r="2" spans="1:236" x14ac:dyDescent="0.2">
      <c r="K2" s="331" t="s">
        <v>1186</v>
      </c>
    </row>
    <row r="3" spans="1:236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</row>
    <row r="4" spans="1:236" ht="26.25" customHeight="1" x14ac:dyDescent="0.2">
      <c r="A4" s="67"/>
      <c r="B4" s="576" t="s">
        <v>1173</v>
      </c>
      <c r="C4" s="576"/>
      <c r="D4" s="576"/>
      <c r="E4" s="576"/>
      <c r="F4" s="576"/>
      <c r="G4" s="576"/>
      <c r="H4" s="576"/>
      <c r="I4" s="576"/>
      <c r="J4" s="576"/>
      <c r="K4" s="576"/>
    </row>
    <row r="5" spans="1:236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36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</row>
    <row r="7" spans="1:236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</row>
    <row r="8" spans="1:236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</row>
    <row r="9" spans="1:236" s="339" customFormat="1" ht="32.25" customHeight="1" x14ac:dyDescent="0.3">
      <c r="A9" s="230"/>
      <c r="B9" s="227" t="s">
        <v>1045</v>
      </c>
      <c r="C9" s="228" t="s">
        <v>562</v>
      </c>
      <c r="D9" s="290">
        <f>D13+D14+D15+D16+D17+D19+D20+D21</f>
        <v>18726.7</v>
      </c>
      <c r="E9" s="290">
        <f>E13+E14+E15+E16+E17+E19+E20+E21</f>
        <v>2182</v>
      </c>
      <c r="F9" s="290">
        <f t="shared" ref="F9:K9" si="0">F13+F14+F15+F16+F17+F19+F20+F21</f>
        <v>1774</v>
      </c>
      <c r="G9" s="290">
        <f t="shared" si="0"/>
        <v>3238</v>
      </c>
      <c r="H9" s="290">
        <f t="shared" si="0"/>
        <v>5455.7</v>
      </c>
      <c r="I9" s="290">
        <f t="shared" si="0"/>
        <v>2130</v>
      </c>
      <c r="J9" s="290">
        <f t="shared" si="0"/>
        <v>1931</v>
      </c>
      <c r="K9" s="290">
        <f t="shared" si="0"/>
        <v>2016</v>
      </c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</row>
    <row r="10" spans="1:236" ht="12.75" hidden="1" customHeight="1" x14ac:dyDescent="0.2">
      <c r="A10" s="73"/>
      <c r="B10" s="74"/>
      <c r="C10" s="197"/>
      <c r="D10" s="290">
        <f t="shared" ref="D10:D12" si="1">E10+F10+G10+H10+I10+J10+K10</f>
        <v>0</v>
      </c>
      <c r="E10" s="291"/>
      <c r="F10" s="291"/>
      <c r="G10" s="291"/>
      <c r="H10" s="291"/>
      <c r="I10" s="291"/>
      <c r="J10" s="291"/>
      <c r="K10" s="291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</row>
    <row r="11" spans="1:236" ht="12.75" hidden="1" customHeight="1" x14ac:dyDescent="0.2">
      <c r="A11" s="73"/>
      <c r="B11" s="74"/>
      <c r="C11" s="197"/>
      <c r="D11" s="290">
        <f t="shared" si="1"/>
        <v>0</v>
      </c>
      <c r="E11" s="291"/>
      <c r="F11" s="291"/>
      <c r="G11" s="291"/>
      <c r="H11" s="291"/>
      <c r="I11" s="291"/>
      <c r="J11" s="291"/>
      <c r="K11" s="291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</row>
    <row r="12" spans="1:236" ht="68.25" hidden="1" customHeight="1" x14ac:dyDescent="0.2">
      <c r="A12" s="73"/>
      <c r="B12" s="74"/>
      <c r="C12" s="233" t="s">
        <v>394</v>
      </c>
      <c r="D12" s="292">
        <f t="shared" si="1"/>
        <v>0</v>
      </c>
      <c r="E12" s="291"/>
      <c r="F12" s="291"/>
      <c r="G12" s="291"/>
      <c r="H12" s="291"/>
      <c r="I12" s="291"/>
      <c r="J12" s="291"/>
      <c r="K12" s="291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</row>
    <row r="13" spans="1:236" s="348" customFormat="1" ht="42" hidden="1" customHeight="1" x14ac:dyDescent="0.2">
      <c r="A13" s="73"/>
      <c r="B13" s="74" t="s">
        <v>561</v>
      </c>
      <c r="C13" s="330" t="s">
        <v>1042</v>
      </c>
      <c r="D13" s="292">
        <f>E13+F13+G13+H13+I13+J13+K13</f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</row>
    <row r="14" spans="1:236" s="348" customFormat="1" ht="99.75" hidden="1" customHeight="1" x14ac:dyDescent="0.2">
      <c r="A14" s="73"/>
      <c r="B14" s="74" t="s">
        <v>563</v>
      </c>
      <c r="C14" s="197" t="s">
        <v>1048</v>
      </c>
      <c r="D14" s="292">
        <f t="shared" ref="D14:D21" si="2">E14+F14+G14+H14+I14+J14+K14</f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</row>
    <row r="15" spans="1:236" s="348" customFormat="1" ht="36.75" hidden="1" customHeight="1" x14ac:dyDescent="0.2">
      <c r="A15" s="73"/>
      <c r="B15" s="74" t="s">
        <v>565</v>
      </c>
      <c r="C15" s="197" t="s">
        <v>1041</v>
      </c>
      <c r="D15" s="292">
        <f t="shared" si="2"/>
        <v>0</v>
      </c>
      <c r="E15" s="291"/>
      <c r="F15" s="291"/>
      <c r="G15" s="291"/>
      <c r="H15" s="291">
        <v>0</v>
      </c>
      <c r="I15" s="291"/>
      <c r="J15" s="291"/>
      <c r="K15" s="291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</row>
    <row r="16" spans="1:236" s="348" customFormat="1" ht="35.25" customHeight="1" x14ac:dyDescent="0.2">
      <c r="A16" s="73"/>
      <c r="B16" s="74" t="s">
        <v>561</v>
      </c>
      <c r="C16" s="197" t="s">
        <v>1195</v>
      </c>
      <c r="D16" s="290">
        <f t="shared" si="2"/>
        <v>11000</v>
      </c>
      <c r="E16" s="291">
        <v>1200</v>
      </c>
      <c r="F16" s="415">
        <v>1150</v>
      </c>
      <c r="G16" s="415">
        <v>2550</v>
      </c>
      <c r="H16" s="415">
        <v>1700</v>
      </c>
      <c r="I16" s="415">
        <v>1500</v>
      </c>
      <c r="J16" s="415">
        <v>1400</v>
      </c>
      <c r="K16" s="415">
        <v>1500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</row>
    <row r="17" spans="1:236" s="348" customFormat="1" ht="24.75" hidden="1" customHeight="1" x14ac:dyDescent="0.2">
      <c r="A17" s="73"/>
      <c r="B17" s="74" t="s">
        <v>596</v>
      </c>
      <c r="C17" s="31" t="s">
        <v>1047</v>
      </c>
      <c r="D17" s="290">
        <f t="shared" si="2"/>
        <v>0</v>
      </c>
      <c r="E17" s="291"/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</row>
    <row r="18" spans="1:236" s="348" customFormat="1" ht="15.75" hidden="1" customHeight="1" x14ac:dyDescent="0.2">
      <c r="A18" s="73"/>
      <c r="B18" s="74"/>
      <c r="C18" s="31" t="s">
        <v>767</v>
      </c>
      <c r="D18" s="290">
        <f t="shared" si="2"/>
        <v>0</v>
      </c>
      <c r="E18" s="291">
        <v>0</v>
      </c>
      <c r="F18" s="291"/>
      <c r="G18" s="291"/>
      <c r="H18" s="291"/>
      <c r="I18" s="291"/>
      <c r="J18" s="291"/>
      <c r="K18" s="291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</row>
    <row r="19" spans="1:236" ht="46.5" customHeight="1" x14ac:dyDescent="0.2">
      <c r="A19" s="73"/>
      <c r="B19" s="74" t="s">
        <v>563</v>
      </c>
      <c r="C19" s="50" t="s">
        <v>763</v>
      </c>
      <c r="D19" s="290">
        <f t="shared" si="2"/>
        <v>4827.7</v>
      </c>
      <c r="E19" s="291">
        <v>982</v>
      </c>
      <c r="F19" s="291">
        <v>624</v>
      </c>
      <c r="G19" s="291">
        <v>488</v>
      </c>
      <c r="H19" s="291">
        <v>1116.7</v>
      </c>
      <c r="I19" s="291">
        <v>570</v>
      </c>
      <c r="J19" s="291">
        <v>531</v>
      </c>
      <c r="K19" s="291">
        <v>516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</row>
    <row r="20" spans="1:236" ht="37.5" customHeight="1" x14ac:dyDescent="0.2">
      <c r="A20" s="73"/>
      <c r="B20" s="74" t="s">
        <v>565</v>
      </c>
      <c r="C20" s="32" t="s">
        <v>1213</v>
      </c>
      <c r="D20" s="290">
        <f t="shared" si="2"/>
        <v>260</v>
      </c>
      <c r="E20" s="291">
        <v>0</v>
      </c>
      <c r="F20" s="291">
        <v>0</v>
      </c>
      <c r="G20" s="291">
        <v>200</v>
      </c>
      <c r="H20" s="291">
        <v>0</v>
      </c>
      <c r="I20" s="291">
        <v>60</v>
      </c>
      <c r="J20" s="291">
        <v>0</v>
      </c>
      <c r="K20" s="291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</row>
    <row r="21" spans="1:236" ht="27.75" customHeight="1" x14ac:dyDescent="0.2">
      <c r="A21" s="73"/>
      <c r="B21" s="74" t="s">
        <v>595</v>
      </c>
      <c r="C21" s="32" t="s">
        <v>1259</v>
      </c>
      <c r="D21" s="290">
        <f t="shared" si="2"/>
        <v>2639</v>
      </c>
      <c r="E21" s="291">
        <v>0</v>
      </c>
      <c r="F21" s="291">
        <v>0</v>
      </c>
      <c r="G21" s="291">
        <v>0</v>
      </c>
      <c r="H21" s="291">
        <v>2639</v>
      </c>
      <c r="I21" s="291">
        <v>0</v>
      </c>
      <c r="J21" s="291">
        <v>0</v>
      </c>
      <c r="K21" s="291">
        <v>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</row>
    <row r="22" spans="1:236" s="339" customFormat="1" ht="26.25" customHeight="1" x14ac:dyDescent="0.3">
      <c r="A22" s="230"/>
      <c r="B22" s="227" t="s">
        <v>1046</v>
      </c>
      <c r="C22" s="228" t="s">
        <v>564</v>
      </c>
      <c r="D22" s="290">
        <f>D23+D24+D25+D26</f>
        <v>31143.66</v>
      </c>
      <c r="E22" s="290">
        <f t="shared" ref="E22:K22" si="3">E23+E24+E25+E26</f>
        <v>2876</v>
      </c>
      <c r="F22" s="290">
        <f t="shared" si="3"/>
        <v>3579</v>
      </c>
      <c r="G22" s="290">
        <f t="shared" si="3"/>
        <v>7233</v>
      </c>
      <c r="H22" s="290">
        <f t="shared" si="3"/>
        <v>4984.66</v>
      </c>
      <c r="I22" s="290">
        <f t="shared" si="3"/>
        <v>3595</v>
      </c>
      <c r="J22" s="290">
        <f t="shared" si="3"/>
        <v>4318</v>
      </c>
      <c r="K22" s="290">
        <f t="shared" si="3"/>
        <v>4558</v>
      </c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0"/>
      <c r="GU22" s="230"/>
      <c r="GV22" s="230"/>
      <c r="GW22" s="230"/>
      <c r="GX22" s="230"/>
      <c r="GY22" s="230"/>
      <c r="GZ22" s="230"/>
      <c r="HA22" s="230"/>
      <c r="HB22" s="230"/>
      <c r="HC22" s="230"/>
      <c r="HD22" s="230"/>
      <c r="HE22" s="230"/>
      <c r="HF22" s="230"/>
      <c r="HG22" s="230"/>
      <c r="HH22" s="230"/>
      <c r="HI22" s="230"/>
      <c r="HJ22" s="230"/>
      <c r="HK22" s="230"/>
      <c r="HL22" s="230"/>
      <c r="HM22" s="230"/>
      <c r="HN22" s="230"/>
      <c r="HO22" s="230"/>
      <c r="HP22" s="230"/>
      <c r="HQ22" s="230"/>
      <c r="HR22" s="230"/>
      <c r="HS22" s="230"/>
      <c r="HT22" s="230"/>
      <c r="HU22" s="230"/>
      <c r="HV22" s="230"/>
      <c r="HW22" s="230"/>
      <c r="HX22" s="230"/>
      <c r="HY22" s="230"/>
      <c r="HZ22" s="230"/>
      <c r="IA22" s="230"/>
      <c r="IB22" s="230"/>
    </row>
    <row r="23" spans="1:236" ht="32.25" customHeight="1" x14ac:dyDescent="0.2">
      <c r="A23" s="73"/>
      <c r="B23" s="74" t="s">
        <v>561</v>
      </c>
      <c r="C23" s="31" t="s">
        <v>710</v>
      </c>
      <c r="D23" s="290">
        <f t="shared" ref="D23:D26" si="4">E23+F23+G23+H23+I23+J23+K23</f>
        <v>30417</v>
      </c>
      <c r="E23" s="291">
        <v>2876</v>
      </c>
      <c r="F23" s="291">
        <v>3579</v>
      </c>
      <c r="G23" s="291">
        <v>6533</v>
      </c>
      <c r="H23" s="291">
        <v>4958</v>
      </c>
      <c r="I23" s="291">
        <v>3595</v>
      </c>
      <c r="J23" s="291">
        <v>4318</v>
      </c>
      <c r="K23" s="291">
        <v>4558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</row>
    <row r="24" spans="1:236" ht="18" hidden="1" customHeight="1" x14ac:dyDescent="0.2">
      <c r="A24" s="73"/>
      <c r="B24" s="74" t="s">
        <v>563</v>
      </c>
      <c r="C24" s="31" t="s">
        <v>722</v>
      </c>
      <c r="D24" s="290">
        <f t="shared" si="4"/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</row>
    <row r="25" spans="1:236" ht="24.75" customHeight="1" x14ac:dyDescent="0.2">
      <c r="A25" s="73"/>
      <c r="B25" s="74" t="s">
        <v>563</v>
      </c>
      <c r="C25" s="31" t="s">
        <v>1216</v>
      </c>
      <c r="D25" s="290">
        <f>E25+F25+G25+H25+I25+J25+K25</f>
        <v>726.66</v>
      </c>
      <c r="E25" s="291">
        <v>0</v>
      </c>
      <c r="F25" s="291">
        <v>0</v>
      </c>
      <c r="G25" s="291">
        <v>700</v>
      </c>
      <c r="H25" s="291">
        <v>26.66</v>
      </c>
      <c r="I25" s="291">
        <v>0</v>
      </c>
      <c r="J25" s="291">
        <v>0</v>
      </c>
      <c r="K25" s="291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</row>
    <row r="26" spans="1:236" ht="34.5" hidden="1" customHeight="1" x14ac:dyDescent="0.2">
      <c r="A26" s="73"/>
      <c r="B26" s="74" t="s">
        <v>565</v>
      </c>
      <c r="C26" s="31" t="s">
        <v>1026</v>
      </c>
      <c r="D26" s="290">
        <f t="shared" si="4"/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</row>
    <row r="27" spans="1:236" s="339" customFormat="1" ht="18.75" x14ac:dyDescent="0.3">
      <c r="A27" s="230"/>
      <c r="B27" s="227"/>
      <c r="C27" s="231" t="s">
        <v>566</v>
      </c>
      <c r="D27" s="290">
        <f t="shared" ref="D27:K27" si="5">D9+D22</f>
        <v>49870.36</v>
      </c>
      <c r="E27" s="290">
        <f t="shared" si="5"/>
        <v>5058</v>
      </c>
      <c r="F27" s="290">
        <f t="shared" si="5"/>
        <v>5353</v>
      </c>
      <c r="G27" s="290">
        <f t="shared" si="5"/>
        <v>10471</v>
      </c>
      <c r="H27" s="290">
        <f t="shared" si="5"/>
        <v>10440.36</v>
      </c>
      <c r="I27" s="290">
        <f t="shared" si="5"/>
        <v>5725</v>
      </c>
      <c r="J27" s="290">
        <f t="shared" si="5"/>
        <v>6249</v>
      </c>
      <c r="K27" s="290">
        <f t="shared" si="5"/>
        <v>6574</v>
      </c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0"/>
      <c r="FL27" s="230"/>
      <c r="FM27" s="230"/>
      <c r="FN27" s="230"/>
      <c r="FO27" s="230"/>
      <c r="FP27" s="230"/>
      <c r="FQ27" s="230"/>
      <c r="FR27" s="230"/>
      <c r="FS27" s="230"/>
      <c r="FT27" s="230"/>
      <c r="FU27" s="230"/>
      <c r="FV27" s="230"/>
      <c r="FW27" s="230"/>
      <c r="FX27" s="230"/>
      <c r="FY27" s="230"/>
      <c r="FZ27" s="230"/>
      <c r="GA27" s="230"/>
      <c r="GB27" s="230"/>
      <c r="GC27" s="230"/>
      <c r="GD27" s="230"/>
      <c r="GE27" s="230"/>
      <c r="GF27" s="230"/>
      <c r="GG27" s="230"/>
      <c r="GH27" s="230"/>
      <c r="GI27" s="230"/>
      <c r="GJ27" s="230"/>
      <c r="GK27" s="230"/>
      <c r="GL27" s="230"/>
      <c r="GM27" s="230"/>
      <c r="GN27" s="230"/>
      <c r="GO27" s="230"/>
      <c r="GP27" s="230"/>
      <c r="GQ27" s="230"/>
      <c r="GR27" s="230"/>
      <c r="GS27" s="230"/>
      <c r="GT27" s="230"/>
      <c r="GU27" s="230"/>
      <c r="GV27" s="230"/>
      <c r="GW27" s="230"/>
      <c r="GX27" s="230"/>
      <c r="GY27" s="230"/>
      <c r="GZ27" s="230"/>
      <c r="HA27" s="230"/>
      <c r="HB27" s="230"/>
      <c r="HC27" s="230"/>
      <c r="HD27" s="230"/>
      <c r="HE27" s="230"/>
      <c r="HF27" s="230"/>
      <c r="HG27" s="230"/>
      <c r="HH27" s="230"/>
      <c r="HI27" s="230"/>
      <c r="HJ27" s="230"/>
      <c r="HK27" s="230"/>
      <c r="HL27" s="230"/>
      <c r="HM27" s="230"/>
      <c r="HN27" s="230"/>
      <c r="HO27" s="230"/>
      <c r="HP27" s="230"/>
      <c r="HQ27" s="230"/>
      <c r="HR27" s="230"/>
      <c r="HS27" s="230"/>
      <c r="HT27" s="230"/>
      <c r="HU27" s="230"/>
      <c r="HV27" s="230"/>
      <c r="HW27" s="230"/>
      <c r="HX27" s="230"/>
      <c r="HY27" s="230"/>
      <c r="HZ27" s="230"/>
      <c r="IA27" s="230"/>
      <c r="IB27" s="230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90" zoomScaleNormal="70" zoomScaleSheetLayoutView="90" workbookViewId="0">
      <selection activeCell="B20" sqref="B20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2"/>
    <col min="257" max="257" width="0" style="332" hidden="1" customWidth="1"/>
    <col min="258" max="258" width="4.7109375" style="332" customWidth="1"/>
    <col min="259" max="259" width="72.5703125" style="332" customWidth="1"/>
    <col min="260" max="260" width="15.42578125" style="332" customWidth="1"/>
    <col min="261" max="261" width="16.28515625" style="332" customWidth="1"/>
    <col min="262" max="267" width="17.28515625" style="332" customWidth="1"/>
    <col min="268" max="274" width="0" style="332" hidden="1" customWidth="1"/>
    <col min="275" max="275" width="12.140625" style="332" customWidth="1"/>
    <col min="276" max="276" width="15.140625" style="332" customWidth="1"/>
    <col min="277" max="303" width="8" style="332" customWidth="1"/>
    <col min="304" max="512" width="8" style="332"/>
    <col min="513" max="513" width="0" style="332" hidden="1" customWidth="1"/>
    <col min="514" max="514" width="4.7109375" style="332" customWidth="1"/>
    <col min="515" max="515" width="72.5703125" style="332" customWidth="1"/>
    <col min="516" max="516" width="15.42578125" style="332" customWidth="1"/>
    <col min="517" max="517" width="16.28515625" style="332" customWidth="1"/>
    <col min="518" max="523" width="17.28515625" style="332" customWidth="1"/>
    <col min="524" max="530" width="0" style="332" hidden="1" customWidth="1"/>
    <col min="531" max="531" width="12.140625" style="332" customWidth="1"/>
    <col min="532" max="532" width="15.140625" style="332" customWidth="1"/>
    <col min="533" max="559" width="8" style="332" customWidth="1"/>
    <col min="560" max="768" width="8" style="332"/>
    <col min="769" max="769" width="0" style="332" hidden="1" customWidth="1"/>
    <col min="770" max="770" width="4.7109375" style="332" customWidth="1"/>
    <col min="771" max="771" width="72.5703125" style="332" customWidth="1"/>
    <col min="772" max="772" width="15.42578125" style="332" customWidth="1"/>
    <col min="773" max="773" width="16.28515625" style="332" customWidth="1"/>
    <col min="774" max="779" width="17.28515625" style="332" customWidth="1"/>
    <col min="780" max="786" width="0" style="332" hidden="1" customWidth="1"/>
    <col min="787" max="787" width="12.140625" style="332" customWidth="1"/>
    <col min="788" max="788" width="15.140625" style="332" customWidth="1"/>
    <col min="789" max="815" width="8" style="332" customWidth="1"/>
    <col min="816" max="1024" width="8" style="332"/>
    <col min="1025" max="1025" width="0" style="332" hidden="1" customWidth="1"/>
    <col min="1026" max="1026" width="4.7109375" style="332" customWidth="1"/>
    <col min="1027" max="1027" width="72.5703125" style="332" customWidth="1"/>
    <col min="1028" max="1028" width="15.42578125" style="332" customWidth="1"/>
    <col min="1029" max="1029" width="16.28515625" style="332" customWidth="1"/>
    <col min="1030" max="1035" width="17.28515625" style="332" customWidth="1"/>
    <col min="1036" max="1042" width="0" style="332" hidden="1" customWidth="1"/>
    <col min="1043" max="1043" width="12.140625" style="332" customWidth="1"/>
    <col min="1044" max="1044" width="15.140625" style="332" customWidth="1"/>
    <col min="1045" max="1071" width="8" style="332" customWidth="1"/>
    <col min="1072" max="1280" width="8" style="332"/>
    <col min="1281" max="1281" width="0" style="332" hidden="1" customWidth="1"/>
    <col min="1282" max="1282" width="4.7109375" style="332" customWidth="1"/>
    <col min="1283" max="1283" width="72.5703125" style="332" customWidth="1"/>
    <col min="1284" max="1284" width="15.42578125" style="332" customWidth="1"/>
    <col min="1285" max="1285" width="16.28515625" style="332" customWidth="1"/>
    <col min="1286" max="1291" width="17.28515625" style="332" customWidth="1"/>
    <col min="1292" max="1298" width="0" style="332" hidden="1" customWidth="1"/>
    <col min="1299" max="1299" width="12.140625" style="332" customWidth="1"/>
    <col min="1300" max="1300" width="15.140625" style="332" customWidth="1"/>
    <col min="1301" max="1327" width="8" style="332" customWidth="1"/>
    <col min="1328" max="1536" width="8" style="332"/>
    <col min="1537" max="1537" width="0" style="332" hidden="1" customWidth="1"/>
    <col min="1538" max="1538" width="4.7109375" style="332" customWidth="1"/>
    <col min="1539" max="1539" width="72.5703125" style="332" customWidth="1"/>
    <col min="1540" max="1540" width="15.42578125" style="332" customWidth="1"/>
    <col min="1541" max="1541" width="16.28515625" style="332" customWidth="1"/>
    <col min="1542" max="1547" width="17.28515625" style="332" customWidth="1"/>
    <col min="1548" max="1554" width="0" style="332" hidden="1" customWidth="1"/>
    <col min="1555" max="1555" width="12.140625" style="332" customWidth="1"/>
    <col min="1556" max="1556" width="15.140625" style="332" customWidth="1"/>
    <col min="1557" max="1583" width="8" style="332" customWidth="1"/>
    <col min="1584" max="1792" width="8" style="332"/>
    <col min="1793" max="1793" width="0" style="332" hidden="1" customWidth="1"/>
    <col min="1794" max="1794" width="4.7109375" style="332" customWidth="1"/>
    <col min="1795" max="1795" width="72.5703125" style="332" customWidth="1"/>
    <col min="1796" max="1796" width="15.42578125" style="332" customWidth="1"/>
    <col min="1797" max="1797" width="16.28515625" style="332" customWidth="1"/>
    <col min="1798" max="1803" width="17.28515625" style="332" customWidth="1"/>
    <col min="1804" max="1810" width="0" style="332" hidden="1" customWidth="1"/>
    <col min="1811" max="1811" width="12.140625" style="332" customWidth="1"/>
    <col min="1812" max="1812" width="15.140625" style="332" customWidth="1"/>
    <col min="1813" max="1839" width="8" style="332" customWidth="1"/>
    <col min="1840" max="2048" width="8" style="332"/>
    <col min="2049" max="2049" width="0" style="332" hidden="1" customWidth="1"/>
    <col min="2050" max="2050" width="4.7109375" style="332" customWidth="1"/>
    <col min="2051" max="2051" width="72.5703125" style="332" customWidth="1"/>
    <col min="2052" max="2052" width="15.42578125" style="332" customWidth="1"/>
    <col min="2053" max="2053" width="16.28515625" style="332" customWidth="1"/>
    <col min="2054" max="2059" width="17.28515625" style="332" customWidth="1"/>
    <col min="2060" max="2066" width="0" style="332" hidden="1" customWidth="1"/>
    <col min="2067" max="2067" width="12.140625" style="332" customWidth="1"/>
    <col min="2068" max="2068" width="15.140625" style="332" customWidth="1"/>
    <col min="2069" max="2095" width="8" style="332" customWidth="1"/>
    <col min="2096" max="2304" width="8" style="332"/>
    <col min="2305" max="2305" width="0" style="332" hidden="1" customWidth="1"/>
    <col min="2306" max="2306" width="4.7109375" style="332" customWidth="1"/>
    <col min="2307" max="2307" width="72.5703125" style="332" customWidth="1"/>
    <col min="2308" max="2308" width="15.42578125" style="332" customWidth="1"/>
    <col min="2309" max="2309" width="16.28515625" style="332" customWidth="1"/>
    <col min="2310" max="2315" width="17.28515625" style="332" customWidth="1"/>
    <col min="2316" max="2322" width="0" style="332" hidden="1" customWidth="1"/>
    <col min="2323" max="2323" width="12.140625" style="332" customWidth="1"/>
    <col min="2324" max="2324" width="15.140625" style="332" customWidth="1"/>
    <col min="2325" max="2351" width="8" style="332" customWidth="1"/>
    <col min="2352" max="2560" width="8" style="332"/>
    <col min="2561" max="2561" width="0" style="332" hidden="1" customWidth="1"/>
    <col min="2562" max="2562" width="4.7109375" style="332" customWidth="1"/>
    <col min="2563" max="2563" width="72.5703125" style="332" customWidth="1"/>
    <col min="2564" max="2564" width="15.42578125" style="332" customWidth="1"/>
    <col min="2565" max="2565" width="16.28515625" style="332" customWidth="1"/>
    <col min="2566" max="2571" width="17.28515625" style="332" customWidth="1"/>
    <col min="2572" max="2578" width="0" style="332" hidden="1" customWidth="1"/>
    <col min="2579" max="2579" width="12.140625" style="332" customWidth="1"/>
    <col min="2580" max="2580" width="15.140625" style="332" customWidth="1"/>
    <col min="2581" max="2607" width="8" style="332" customWidth="1"/>
    <col min="2608" max="2816" width="8" style="332"/>
    <col min="2817" max="2817" width="0" style="332" hidden="1" customWidth="1"/>
    <col min="2818" max="2818" width="4.7109375" style="332" customWidth="1"/>
    <col min="2819" max="2819" width="72.5703125" style="332" customWidth="1"/>
    <col min="2820" max="2820" width="15.42578125" style="332" customWidth="1"/>
    <col min="2821" max="2821" width="16.28515625" style="332" customWidth="1"/>
    <col min="2822" max="2827" width="17.28515625" style="332" customWidth="1"/>
    <col min="2828" max="2834" width="0" style="332" hidden="1" customWidth="1"/>
    <col min="2835" max="2835" width="12.140625" style="332" customWidth="1"/>
    <col min="2836" max="2836" width="15.140625" style="332" customWidth="1"/>
    <col min="2837" max="2863" width="8" style="332" customWidth="1"/>
    <col min="2864" max="3072" width="8" style="332"/>
    <col min="3073" max="3073" width="0" style="332" hidden="1" customWidth="1"/>
    <col min="3074" max="3074" width="4.7109375" style="332" customWidth="1"/>
    <col min="3075" max="3075" width="72.5703125" style="332" customWidth="1"/>
    <col min="3076" max="3076" width="15.42578125" style="332" customWidth="1"/>
    <col min="3077" max="3077" width="16.28515625" style="332" customWidth="1"/>
    <col min="3078" max="3083" width="17.28515625" style="332" customWidth="1"/>
    <col min="3084" max="3090" width="0" style="332" hidden="1" customWidth="1"/>
    <col min="3091" max="3091" width="12.140625" style="332" customWidth="1"/>
    <col min="3092" max="3092" width="15.140625" style="332" customWidth="1"/>
    <col min="3093" max="3119" width="8" style="332" customWidth="1"/>
    <col min="3120" max="3328" width="8" style="332"/>
    <col min="3329" max="3329" width="0" style="332" hidden="1" customWidth="1"/>
    <col min="3330" max="3330" width="4.7109375" style="332" customWidth="1"/>
    <col min="3331" max="3331" width="72.5703125" style="332" customWidth="1"/>
    <col min="3332" max="3332" width="15.42578125" style="332" customWidth="1"/>
    <col min="3333" max="3333" width="16.28515625" style="332" customWidth="1"/>
    <col min="3334" max="3339" width="17.28515625" style="332" customWidth="1"/>
    <col min="3340" max="3346" width="0" style="332" hidden="1" customWidth="1"/>
    <col min="3347" max="3347" width="12.140625" style="332" customWidth="1"/>
    <col min="3348" max="3348" width="15.140625" style="332" customWidth="1"/>
    <col min="3349" max="3375" width="8" style="332" customWidth="1"/>
    <col min="3376" max="3584" width="8" style="332"/>
    <col min="3585" max="3585" width="0" style="332" hidden="1" customWidth="1"/>
    <col min="3586" max="3586" width="4.7109375" style="332" customWidth="1"/>
    <col min="3587" max="3587" width="72.5703125" style="332" customWidth="1"/>
    <col min="3588" max="3588" width="15.42578125" style="332" customWidth="1"/>
    <col min="3589" max="3589" width="16.28515625" style="332" customWidth="1"/>
    <col min="3590" max="3595" width="17.28515625" style="332" customWidth="1"/>
    <col min="3596" max="3602" width="0" style="332" hidden="1" customWidth="1"/>
    <col min="3603" max="3603" width="12.140625" style="332" customWidth="1"/>
    <col min="3604" max="3604" width="15.140625" style="332" customWidth="1"/>
    <col min="3605" max="3631" width="8" style="332" customWidth="1"/>
    <col min="3632" max="3840" width="8" style="332"/>
    <col min="3841" max="3841" width="0" style="332" hidden="1" customWidth="1"/>
    <col min="3842" max="3842" width="4.7109375" style="332" customWidth="1"/>
    <col min="3843" max="3843" width="72.5703125" style="332" customWidth="1"/>
    <col min="3844" max="3844" width="15.42578125" style="332" customWidth="1"/>
    <col min="3845" max="3845" width="16.28515625" style="332" customWidth="1"/>
    <col min="3846" max="3851" width="17.28515625" style="332" customWidth="1"/>
    <col min="3852" max="3858" width="0" style="332" hidden="1" customWidth="1"/>
    <col min="3859" max="3859" width="12.140625" style="332" customWidth="1"/>
    <col min="3860" max="3860" width="15.140625" style="332" customWidth="1"/>
    <col min="3861" max="3887" width="8" style="332" customWidth="1"/>
    <col min="3888" max="4096" width="8" style="332"/>
    <col min="4097" max="4097" width="0" style="332" hidden="1" customWidth="1"/>
    <col min="4098" max="4098" width="4.7109375" style="332" customWidth="1"/>
    <col min="4099" max="4099" width="72.5703125" style="332" customWidth="1"/>
    <col min="4100" max="4100" width="15.42578125" style="332" customWidth="1"/>
    <col min="4101" max="4101" width="16.28515625" style="332" customWidth="1"/>
    <col min="4102" max="4107" width="17.28515625" style="332" customWidth="1"/>
    <col min="4108" max="4114" width="0" style="332" hidden="1" customWidth="1"/>
    <col min="4115" max="4115" width="12.140625" style="332" customWidth="1"/>
    <col min="4116" max="4116" width="15.140625" style="332" customWidth="1"/>
    <col min="4117" max="4143" width="8" style="332" customWidth="1"/>
    <col min="4144" max="4352" width="8" style="332"/>
    <col min="4353" max="4353" width="0" style="332" hidden="1" customWidth="1"/>
    <col min="4354" max="4354" width="4.7109375" style="332" customWidth="1"/>
    <col min="4355" max="4355" width="72.5703125" style="332" customWidth="1"/>
    <col min="4356" max="4356" width="15.42578125" style="332" customWidth="1"/>
    <col min="4357" max="4357" width="16.28515625" style="332" customWidth="1"/>
    <col min="4358" max="4363" width="17.28515625" style="332" customWidth="1"/>
    <col min="4364" max="4370" width="0" style="332" hidden="1" customWidth="1"/>
    <col min="4371" max="4371" width="12.140625" style="332" customWidth="1"/>
    <col min="4372" max="4372" width="15.140625" style="332" customWidth="1"/>
    <col min="4373" max="4399" width="8" style="332" customWidth="1"/>
    <col min="4400" max="4608" width="8" style="332"/>
    <col min="4609" max="4609" width="0" style="332" hidden="1" customWidth="1"/>
    <col min="4610" max="4610" width="4.7109375" style="332" customWidth="1"/>
    <col min="4611" max="4611" width="72.5703125" style="332" customWidth="1"/>
    <col min="4612" max="4612" width="15.42578125" style="332" customWidth="1"/>
    <col min="4613" max="4613" width="16.28515625" style="332" customWidth="1"/>
    <col min="4614" max="4619" width="17.28515625" style="332" customWidth="1"/>
    <col min="4620" max="4626" width="0" style="332" hidden="1" customWidth="1"/>
    <col min="4627" max="4627" width="12.140625" style="332" customWidth="1"/>
    <col min="4628" max="4628" width="15.140625" style="332" customWidth="1"/>
    <col min="4629" max="4655" width="8" style="332" customWidth="1"/>
    <col min="4656" max="4864" width="8" style="332"/>
    <col min="4865" max="4865" width="0" style="332" hidden="1" customWidth="1"/>
    <col min="4866" max="4866" width="4.7109375" style="332" customWidth="1"/>
    <col min="4867" max="4867" width="72.5703125" style="332" customWidth="1"/>
    <col min="4868" max="4868" width="15.42578125" style="332" customWidth="1"/>
    <col min="4869" max="4869" width="16.28515625" style="332" customWidth="1"/>
    <col min="4870" max="4875" width="17.28515625" style="332" customWidth="1"/>
    <col min="4876" max="4882" width="0" style="332" hidden="1" customWidth="1"/>
    <col min="4883" max="4883" width="12.140625" style="332" customWidth="1"/>
    <col min="4884" max="4884" width="15.140625" style="332" customWidth="1"/>
    <col min="4885" max="4911" width="8" style="332" customWidth="1"/>
    <col min="4912" max="5120" width="8" style="332"/>
    <col min="5121" max="5121" width="0" style="332" hidden="1" customWidth="1"/>
    <col min="5122" max="5122" width="4.7109375" style="332" customWidth="1"/>
    <col min="5123" max="5123" width="72.5703125" style="332" customWidth="1"/>
    <col min="5124" max="5124" width="15.42578125" style="332" customWidth="1"/>
    <col min="5125" max="5125" width="16.28515625" style="332" customWidth="1"/>
    <col min="5126" max="5131" width="17.28515625" style="332" customWidth="1"/>
    <col min="5132" max="5138" width="0" style="332" hidden="1" customWidth="1"/>
    <col min="5139" max="5139" width="12.140625" style="332" customWidth="1"/>
    <col min="5140" max="5140" width="15.140625" style="332" customWidth="1"/>
    <col min="5141" max="5167" width="8" style="332" customWidth="1"/>
    <col min="5168" max="5376" width="8" style="332"/>
    <col min="5377" max="5377" width="0" style="332" hidden="1" customWidth="1"/>
    <col min="5378" max="5378" width="4.7109375" style="332" customWidth="1"/>
    <col min="5379" max="5379" width="72.5703125" style="332" customWidth="1"/>
    <col min="5380" max="5380" width="15.42578125" style="332" customWidth="1"/>
    <col min="5381" max="5381" width="16.28515625" style="332" customWidth="1"/>
    <col min="5382" max="5387" width="17.28515625" style="332" customWidth="1"/>
    <col min="5388" max="5394" width="0" style="332" hidden="1" customWidth="1"/>
    <col min="5395" max="5395" width="12.140625" style="332" customWidth="1"/>
    <col min="5396" max="5396" width="15.140625" style="332" customWidth="1"/>
    <col min="5397" max="5423" width="8" style="332" customWidth="1"/>
    <col min="5424" max="5632" width="8" style="332"/>
    <col min="5633" max="5633" width="0" style="332" hidden="1" customWidth="1"/>
    <col min="5634" max="5634" width="4.7109375" style="332" customWidth="1"/>
    <col min="5635" max="5635" width="72.5703125" style="332" customWidth="1"/>
    <col min="5636" max="5636" width="15.42578125" style="332" customWidth="1"/>
    <col min="5637" max="5637" width="16.28515625" style="332" customWidth="1"/>
    <col min="5638" max="5643" width="17.28515625" style="332" customWidth="1"/>
    <col min="5644" max="5650" width="0" style="332" hidden="1" customWidth="1"/>
    <col min="5651" max="5651" width="12.140625" style="332" customWidth="1"/>
    <col min="5652" max="5652" width="15.140625" style="332" customWidth="1"/>
    <col min="5653" max="5679" width="8" style="332" customWidth="1"/>
    <col min="5680" max="5888" width="8" style="332"/>
    <col min="5889" max="5889" width="0" style="332" hidden="1" customWidth="1"/>
    <col min="5890" max="5890" width="4.7109375" style="332" customWidth="1"/>
    <col min="5891" max="5891" width="72.5703125" style="332" customWidth="1"/>
    <col min="5892" max="5892" width="15.42578125" style="332" customWidth="1"/>
    <col min="5893" max="5893" width="16.28515625" style="332" customWidth="1"/>
    <col min="5894" max="5899" width="17.28515625" style="332" customWidth="1"/>
    <col min="5900" max="5906" width="0" style="332" hidden="1" customWidth="1"/>
    <col min="5907" max="5907" width="12.140625" style="332" customWidth="1"/>
    <col min="5908" max="5908" width="15.140625" style="332" customWidth="1"/>
    <col min="5909" max="5935" width="8" style="332" customWidth="1"/>
    <col min="5936" max="6144" width="8" style="332"/>
    <col min="6145" max="6145" width="0" style="332" hidden="1" customWidth="1"/>
    <col min="6146" max="6146" width="4.7109375" style="332" customWidth="1"/>
    <col min="6147" max="6147" width="72.5703125" style="332" customWidth="1"/>
    <col min="6148" max="6148" width="15.42578125" style="332" customWidth="1"/>
    <col min="6149" max="6149" width="16.28515625" style="332" customWidth="1"/>
    <col min="6150" max="6155" width="17.28515625" style="332" customWidth="1"/>
    <col min="6156" max="6162" width="0" style="332" hidden="1" customWidth="1"/>
    <col min="6163" max="6163" width="12.140625" style="332" customWidth="1"/>
    <col min="6164" max="6164" width="15.140625" style="332" customWidth="1"/>
    <col min="6165" max="6191" width="8" style="332" customWidth="1"/>
    <col min="6192" max="6400" width="8" style="332"/>
    <col min="6401" max="6401" width="0" style="332" hidden="1" customWidth="1"/>
    <col min="6402" max="6402" width="4.7109375" style="332" customWidth="1"/>
    <col min="6403" max="6403" width="72.5703125" style="332" customWidth="1"/>
    <col min="6404" max="6404" width="15.42578125" style="332" customWidth="1"/>
    <col min="6405" max="6405" width="16.28515625" style="332" customWidth="1"/>
    <col min="6406" max="6411" width="17.28515625" style="332" customWidth="1"/>
    <col min="6412" max="6418" width="0" style="332" hidden="1" customWidth="1"/>
    <col min="6419" max="6419" width="12.140625" style="332" customWidth="1"/>
    <col min="6420" max="6420" width="15.140625" style="332" customWidth="1"/>
    <col min="6421" max="6447" width="8" style="332" customWidth="1"/>
    <col min="6448" max="6656" width="8" style="332"/>
    <col min="6657" max="6657" width="0" style="332" hidden="1" customWidth="1"/>
    <col min="6658" max="6658" width="4.7109375" style="332" customWidth="1"/>
    <col min="6659" max="6659" width="72.5703125" style="332" customWidth="1"/>
    <col min="6660" max="6660" width="15.42578125" style="332" customWidth="1"/>
    <col min="6661" max="6661" width="16.28515625" style="332" customWidth="1"/>
    <col min="6662" max="6667" width="17.28515625" style="332" customWidth="1"/>
    <col min="6668" max="6674" width="0" style="332" hidden="1" customWidth="1"/>
    <col min="6675" max="6675" width="12.140625" style="332" customWidth="1"/>
    <col min="6676" max="6676" width="15.140625" style="332" customWidth="1"/>
    <col min="6677" max="6703" width="8" style="332" customWidth="1"/>
    <col min="6704" max="6912" width="8" style="332"/>
    <col min="6913" max="6913" width="0" style="332" hidden="1" customWidth="1"/>
    <col min="6914" max="6914" width="4.7109375" style="332" customWidth="1"/>
    <col min="6915" max="6915" width="72.5703125" style="332" customWidth="1"/>
    <col min="6916" max="6916" width="15.42578125" style="332" customWidth="1"/>
    <col min="6917" max="6917" width="16.28515625" style="332" customWidth="1"/>
    <col min="6918" max="6923" width="17.28515625" style="332" customWidth="1"/>
    <col min="6924" max="6930" width="0" style="332" hidden="1" customWidth="1"/>
    <col min="6931" max="6931" width="12.140625" style="332" customWidth="1"/>
    <col min="6932" max="6932" width="15.140625" style="332" customWidth="1"/>
    <col min="6933" max="6959" width="8" style="332" customWidth="1"/>
    <col min="6960" max="7168" width="8" style="332"/>
    <col min="7169" max="7169" width="0" style="332" hidden="1" customWidth="1"/>
    <col min="7170" max="7170" width="4.7109375" style="332" customWidth="1"/>
    <col min="7171" max="7171" width="72.5703125" style="332" customWidth="1"/>
    <col min="7172" max="7172" width="15.42578125" style="332" customWidth="1"/>
    <col min="7173" max="7173" width="16.28515625" style="332" customWidth="1"/>
    <col min="7174" max="7179" width="17.28515625" style="332" customWidth="1"/>
    <col min="7180" max="7186" width="0" style="332" hidden="1" customWidth="1"/>
    <col min="7187" max="7187" width="12.140625" style="332" customWidth="1"/>
    <col min="7188" max="7188" width="15.140625" style="332" customWidth="1"/>
    <col min="7189" max="7215" width="8" style="332" customWidth="1"/>
    <col min="7216" max="7424" width="8" style="332"/>
    <col min="7425" max="7425" width="0" style="332" hidden="1" customWidth="1"/>
    <col min="7426" max="7426" width="4.7109375" style="332" customWidth="1"/>
    <col min="7427" max="7427" width="72.5703125" style="332" customWidth="1"/>
    <col min="7428" max="7428" width="15.42578125" style="332" customWidth="1"/>
    <col min="7429" max="7429" width="16.28515625" style="332" customWidth="1"/>
    <col min="7430" max="7435" width="17.28515625" style="332" customWidth="1"/>
    <col min="7436" max="7442" width="0" style="332" hidden="1" customWidth="1"/>
    <col min="7443" max="7443" width="12.140625" style="332" customWidth="1"/>
    <col min="7444" max="7444" width="15.140625" style="332" customWidth="1"/>
    <col min="7445" max="7471" width="8" style="332" customWidth="1"/>
    <col min="7472" max="7680" width="8" style="332"/>
    <col min="7681" max="7681" width="0" style="332" hidden="1" customWidth="1"/>
    <col min="7682" max="7682" width="4.7109375" style="332" customWidth="1"/>
    <col min="7683" max="7683" width="72.5703125" style="332" customWidth="1"/>
    <col min="7684" max="7684" width="15.42578125" style="332" customWidth="1"/>
    <col min="7685" max="7685" width="16.28515625" style="332" customWidth="1"/>
    <col min="7686" max="7691" width="17.28515625" style="332" customWidth="1"/>
    <col min="7692" max="7698" width="0" style="332" hidden="1" customWidth="1"/>
    <col min="7699" max="7699" width="12.140625" style="332" customWidth="1"/>
    <col min="7700" max="7700" width="15.140625" style="332" customWidth="1"/>
    <col min="7701" max="7727" width="8" style="332" customWidth="1"/>
    <col min="7728" max="7936" width="8" style="332"/>
    <col min="7937" max="7937" width="0" style="332" hidden="1" customWidth="1"/>
    <col min="7938" max="7938" width="4.7109375" style="332" customWidth="1"/>
    <col min="7939" max="7939" width="72.5703125" style="332" customWidth="1"/>
    <col min="7940" max="7940" width="15.42578125" style="332" customWidth="1"/>
    <col min="7941" max="7941" width="16.28515625" style="332" customWidth="1"/>
    <col min="7942" max="7947" width="17.28515625" style="332" customWidth="1"/>
    <col min="7948" max="7954" width="0" style="332" hidden="1" customWidth="1"/>
    <col min="7955" max="7955" width="12.140625" style="332" customWidth="1"/>
    <col min="7956" max="7956" width="15.140625" style="332" customWidth="1"/>
    <col min="7957" max="7983" width="8" style="332" customWidth="1"/>
    <col min="7984" max="8192" width="8" style="332"/>
    <col min="8193" max="8193" width="0" style="332" hidden="1" customWidth="1"/>
    <col min="8194" max="8194" width="4.7109375" style="332" customWidth="1"/>
    <col min="8195" max="8195" width="72.5703125" style="332" customWidth="1"/>
    <col min="8196" max="8196" width="15.42578125" style="332" customWidth="1"/>
    <col min="8197" max="8197" width="16.28515625" style="332" customWidth="1"/>
    <col min="8198" max="8203" width="17.28515625" style="332" customWidth="1"/>
    <col min="8204" max="8210" width="0" style="332" hidden="1" customWidth="1"/>
    <col min="8211" max="8211" width="12.140625" style="332" customWidth="1"/>
    <col min="8212" max="8212" width="15.140625" style="332" customWidth="1"/>
    <col min="8213" max="8239" width="8" style="332" customWidth="1"/>
    <col min="8240" max="8448" width="8" style="332"/>
    <col min="8449" max="8449" width="0" style="332" hidden="1" customWidth="1"/>
    <col min="8450" max="8450" width="4.7109375" style="332" customWidth="1"/>
    <col min="8451" max="8451" width="72.5703125" style="332" customWidth="1"/>
    <col min="8452" max="8452" width="15.42578125" style="332" customWidth="1"/>
    <col min="8453" max="8453" width="16.28515625" style="332" customWidth="1"/>
    <col min="8454" max="8459" width="17.28515625" style="332" customWidth="1"/>
    <col min="8460" max="8466" width="0" style="332" hidden="1" customWidth="1"/>
    <col min="8467" max="8467" width="12.140625" style="332" customWidth="1"/>
    <col min="8468" max="8468" width="15.140625" style="332" customWidth="1"/>
    <col min="8469" max="8495" width="8" style="332" customWidth="1"/>
    <col min="8496" max="8704" width="8" style="332"/>
    <col min="8705" max="8705" width="0" style="332" hidden="1" customWidth="1"/>
    <col min="8706" max="8706" width="4.7109375" style="332" customWidth="1"/>
    <col min="8707" max="8707" width="72.5703125" style="332" customWidth="1"/>
    <col min="8708" max="8708" width="15.42578125" style="332" customWidth="1"/>
    <col min="8709" max="8709" width="16.28515625" style="332" customWidth="1"/>
    <col min="8710" max="8715" width="17.28515625" style="332" customWidth="1"/>
    <col min="8716" max="8722" width="0" style="332" hidden="1" customWidth="1"/>
    <col min="8723" max="8723" width="12.140625" style="332" customWidth="1"/>
    <col min="8724" max="8724" width="15.140625" style="332" customWidth="1"/>
    <col min="8725" max="8751" width="8" style="332" customWidth="1"/>
    <col min="8752" max="8960" width="8" style="332"/>
    <col min="8961" max="8961" width="0" style="332" hidden="1" customWidth="1"/>
    <col min="8962" max="8962" width="4.7109375" style="332" customWidth="1"/>
    <col min="8963" max="8963" width="72.5703125" style="332" customWidth="1"/>
    <col min="8964" max="8964" width="15.42578125" style="332" customWidth="1"/>
    <col min="8965" max="8965" width="16.28515625" style="332" customWidth="1"/>
    <col min="8966" max="8971" width="17.28515625" style="332" customWidth="1"/>
    <col min="8972" max="8978" width="0" style="332" hidden="1" customWidth="1"/>
    <col min="8979" max="8979" width="12.140625" style="332" customWidth="1"/>
    <col min="8980" max="8980" width="15.140625" style="332" customWidth="1"/>
    <col min="8981" max="9007" width="8" style="332" customWidth="1"/>
    <col min="9008" max="9216" width="8" style="332"/>
    <col min="9217" max="9217" width="0" style="332" hidden="1" customWidth="1"/>
    <col min="9218" max="9218" width="4.7109375" style="332" customWidth="1"/>
    <col min="9219" max="9219" width="72.5703125" style="332" customWidth="1"/>
    <col min="9220" max="9220" width="15.42578125" style="332" customWidth="1"/>
    <col min="9221" max="9221" width="16.28515625" style="332" customWidth="1"/>
    <col min="9222" max="9227" width="17.28515625" style="332" customWidth="1"/>
    <col min="9228" max="9234" width="0" style="332" hidden="1" customWidth="1"/>
    <col min="9235" max="9235" width="12.140625" style="332" customWidth="1"/>
    <col min="9236" max="9236" width="15.140625" style="332" customWidth="1"/>
    <col min="9237" max="9263" width="8" style="332" customWidth="1"/>
    <col min="9264" max="9472" width="8" style="332"/>
    <col min="9473" max="9473" width="0" style="332" hidden="1" customWidth="1"/>
    <col min="9474" max="9474" width="4.7109375" style="332" customWidth="1"/>
    <col min="9475" max="9475" width="72.5703125" style="332" customWidth="1"/>
    <col min="9476" max="9476" width="15.42578125" style="332" customWidth="1"/>
    <col min="9477" max="9477" width="16.28515625" style="332" customWidth="1"/>
    <col min="9478" max="9483" width="17.28515625" style="332" customWidth="1"/>
    <col min="9484" max="9490" width="0" style="332" hidden="1" customWidth="1"/>
    <col min="9491" max="9491" width="12.140625" style="332" customWidth="1"/>
    <col min="9492" max="9492" width="15.140625" style="332" customWidth="1"/>
    <col min="9493" max="9519" width="8" style="332" customWidth="1"/>
    <col min="9520" max="9728" width="8" style="332"/>
    <col min="9729" max="9729" width="0" style="332" hidden="1" customWidth="1"/>
    <col min="9730" max="9730" width="4.7109375" style="332" customWidth="1"/>
    <col min="9731" max="9731" width="72.5703125" style="332" customWidth="1"/>
    <col min="9732" max="9732" width="15.42578125" style="332" customWidth="1"/>
    <col min="9733" max="9733" width="16.28515625" style="332" customWidth="1"/>
    <col min="9734" max="9739" width="17.28515625" style="332" customWidth="1"/>
    <col min="9740" max="9746" width="0" style="332" hidden="1" customWidth="1"/>
    <col min="9747" max="9747" width="12.140625" style="332" customWidth="1"/>
    <col min="9748" max="9748" width="15.140625" style="332" customWidth="1"/>
    <col min="9749" max="9775" width="8" style="332" customWidth="1"/>
    <col min="9776" max="9984" width="8" style="332"/>
    <col min="9985" max="9985" width="0" style="332" hidden="1" customWidth="1"/>
    <col min="9986" max="9986" width="4.7109375" style="332" customWidth="1"/>
    <col min="9987" max="9987" width="72.5703125" style="332" customWidth="1"/>
    <col min="9988" max="9988" width="15.42578125" style="332" customWidth="1"/>
    <col min="9989" max="9989" width="16.28515625" style="332" customWidth="1"/>
    <col min="9990" max="9995" width="17.28515625" style="332" customWidth="1"/>
    <col min="9996" max="10002" width="0" style="332" hidden="1" customWidth="1"/>
    <col min="10003" max="10003" width="12.140625" style="332" customWidth="1"/>
    <col min="10004" max="10004" width="15.140625" style="332" customWidth="1"/>
    <col min="10005" max="10031" width="8" style="332" customWidth="1"/>
    <col min="10032" max="10240" width="8" style="332"/>
    <col min="10241" max="10241" width="0" style="332" hidden="1" customWidth="1"/>
    <col min="10242" max="10242" width="4.7109375" style="332" customWidth="1"/>
    <col min="10243" max="10243" width="72.5703125" style="332" customWidth="1"/>
    <col min="10244" max="10244" width="15.42578125" style="332" customWidth="1"/>
    <col min="10245" max="10245" width="16.28515625" style="332" customWidth="1"/>
    <col min="10246" max="10251" width="17.28515625" style="332" customWidth="1"/>
    <col min="10252" max="10258" width="0" style="332" hidden="1" customWidth="1"/>
    <col min="10259" max="10259" width="12.140625" style="332" customWidth="1"/>
    <col min="10260" max="10260" width="15.140625" style="332" customWidth="1"/>
    <col min="10261" max="10287" width="8" style="332" customWidth="1"/>
    <col min="10288" max="10496" width="8" style="332"/>
    <col min="10497" max="10497" width="0" style="332" hidden="1" customWidth="1"/>
    <col min="10498" max="10498" width="4.7109375" style="332" customWidth="1"/>
    <col min="10499" max="10499" width="72.5703125" style="332" customWidth="1"/>
    <col min="10500" max="10500" width="15.42578125" style="332" customWidth="1"/>
    <col min="10501" max="10501" width="16.28515625" style="332" customWidth="1"/>
    <col min="10502" max="10507" width="17.28515625" style="332" customWidth="1"/>
    <col min="10508" max="10514" width="0" style="332" hidden="1" customWidth="1"/>
    <col min="10515" max="10515" width="12.140625" style="332" customWidth="1"/>
    <col min="10516" max="10516" width="15.140625" style="332" customWidth="1"/>
    <col min="10517" max="10543" width="8" style="332" customWidth="1"/>
    <col min="10544" max="10752" width="8" style="332"/>
    <col min="10753" max="10753" width="0" style="332" hidden="1" customWidth="1"/>
    <col min="10754" max="10754" width="4.7109375" style="332" customWidth="1"/>
    <col min="10755" max="10755" width="72.5703125" style="332" customWidth="1"/>
    <col min="10756" max="10756" width="15.42578125" style="332" customWidth="1"/>
    <col min="10757" max="10757" width="16.28515625" style="332" customWidth="1"/>
    <col min="10758" max="10763" width="17.28515625" style="332" customWidth="1"/>
    <col min="10764" max="10770" width="0" style="332" hidden="1" customWidth="1"/>
    <col min="10771" max="10771" width="12.140625" style="332" customWidth="1"/>
    <col min="10772" max="10772" width="15.140625" style="332" customWidth="1"/>
    <col min="10773" max="10799" width="8" style="332" customWidth="1"/>
    <col min="10800" max="11008" width="8" style="332"/>
    <col min="11009" max="11009" width="0" style="332" hidden="1" customWidth="1"/>
    <col min="11010" max="11010" width="4.7109375" style="332" customWidth="1"/>
    <col min="11011" max="11011" width="72.5703125" style="332" customWidth="1"/>
    <col min="11012" max="11012" width="15.42578125" style="332" customWidth="1"/>
    <col min="11013" max="11013" width="16.28515625" style="332" customWidth="1"/>
    <col min="11014" max="11019" width="17.28515625" style="332" customWidth="1"/>
    <col min="11020" max="11026" width="0" style="332" hidden="1" customWidth="1"/>
    <col min="11027" max="11027" width="12.140625" style="332" customWidth="1"/>
    <col min="11028" max="11028" width="15.140625" style="332" customWidth="1"/>
    <col min="11029" max="11055" width="8" style="332" customWidth="1"/>
    <col min="11056" max="11264" width="8" style="332"/>
    <col min="11265" max="11265" width="0" style="332" hidden="1" customWidth="1"/>
    <col min="11266" max="11266" width="4.7109375" style="332" customWidth="1"/>
    <col min="11267" max="11267" width="72.5703125" style="332" customWidth="1"/>
    <col min="11268" max="11268" width="15.42578125" style="332" customWidth="1"/>
    <col min="11269" max="11269" width="16.28515625" style="332" customWidth="1"/>
    <col min="11270" max="11275" width="17.28515625" style="332" customWidth="1"/>
    <col min="11276" max="11282" width="0" style="332" hidden="1" customWidth="1"/>
    <col min="11283" max="11283" width="12.140625" style="332" customWidth="1"/>
    <col min="11284" max="11284" width="15.140625" style="332" customWidth="1"/>
    <col min="11285" max="11311" width="8" style="332" customWidth="1"/>
    <col min="11312" max="11520" width="8" style="332"/>
    <col min="11521" max="11521" width="0" style="332" hidden="1" customWidth="1"/>
    <col min="11522" max="11522" width="4.7109375" style="332" customWidth="1"/>
    <col min="11523" max="11523" width="72.5703125" style="332" customWidth="1"/>
    <col min="11524" max="11524" width="15.42578125" style="332" customWidth="1"/>
    <col min="11525" max="11525" width="16.28515625" style="332" customWidth="1"/>
    <col min="11526" max="11531" width="17.28515625" style="332" customWidth="1"/>
    <col min="11532" max="11538" width="0" style="332" hidden="1" customWidth="1"/>
    <col min="11539" max="11539" width="12.140625" style="332" customWidth="1"/>
    <col min="11540" max="11540" width="15.140625" style="332" customWidth="1"/>
    <col min="11541" max="11567" width="8" style="332" customWidth="1"/>
    <col min="11568" max="11776" width="8" style="332"/>
    <col min="11777" max="11777" width="0" style="332" hidden="1" customWidth="1"/>
    <col min="11778" max="11778" width="4.7109375" style="332" customWidth="1"/>
    <col min="11779" max="11779" width="72.5703125" style="332" customWidth="1"/>
    <col min="11780" max="11780" width="15.42578125" style="332" customWidth="1"/>
    <col min="11781" max="11781" width="16.28515625" style="332" customWidth="1"/>
    <col min="11782" max="11787" width="17.28515625" style="332" customWidth="1"/>
    <col min="11788" max="11794" width="0" style="332" hidden="1" customWidth="1"/>
    <col min="11795" max="11795" width="12.140625" style="332" customWidth="1"/>
    <col min="11796" max="11796" width="15.140625" style="332" customWidth="1"/>
    <col min="11797" max="11823" width="8" style="332" customWidth="1"/>
    <col min="11824" max="12032" width="8" style="332"/>
    <col min="12033" max="12033" width="0" style="332" hidden="1" customWidth="1"/>
    <col min="12034" max="12034" width="4.7109375" style="332" customWidth="1"/>
    <col min="12035" max="12035" width="72.5703125" style="332" customWidth="1"/>
    <col min="12036" max="12036" width="15.42578125" style="332" customWidth="1"/>
    <col min="12037" max="12037" width="16.28515625" style="332" customWidth="1"/>
    <col min="12038" max="12043" width="17.28515625" style="332" customWidth="1"/>
    <col min="12044" max="12050" width="0" style="332" hidden="1" customWidth="1"/>
    <col min="12051" max="12051" width="12.140625" style="332" customWidth="1"/>
    <col min="12052" max="12052" width="15.140625" style="332" customWidth="1"/>
    <col min="12053" max="12079" width="8" style="332" customWidth="1"/>
    <col min="12080" max="12288" width="8" style="332"/>
    <col min="12289" max="12289" width="0" style="332" hidden="1" customWidth="1"/>
    <col min="12290" max="12290" width="4.7109375" style="332" customWidth="1"/>
    <col min="12291" max="12291" width="72.5703125" style="332" customWidth="1"/>
    <col min="12292" max="12292" width="15.42578125" style="332" customWidth="1"/>
    <col min="12293" max="12293" width="16.28515625" style="332" customWidth="1"/>
    <col min="12294" max="12299" width="17.28515625" style="332" customWidth="1"/>
    <col min="12300" max="12306" width="0" style="332" hidden="1" customWidth="1"/>
    <col min="12307" max="12307" width="12.140625" style="332" customWidth="1"/>
    <col min="12308" max="12308" width="15.140625" style="332" customWidth="1"/>
    <col min="12309" max="12335" width="8" style="332" customWidth="1"/>
    <col min="12336" max="12544" width="8" style="332"/>
    <col min="12545" max="12545" width="0" style="332" hidden="1" customWidth="1"/>
    <col min="12546" max="12546" width="4.7109375" style="332" customWidth="1"/>
    <col min="12547" max="12547" width="72.5703125" style="332" customWidth="1"/>
    <col min="12548" max="12548" width="15.42578125" style="332" customWidth="1"/>
    <col min="12549" max="12549" width="16.28515625" style="332" customWidth="1"/>
    <col min="12550" max="12555" width="17.28515625" style="332" customWidth="1"/>
    <col min="12556" max="12562" width="0" style="332" hidden="1" customWidth="1"/>
    <col min="12563" max="12563" width="12.140625" style="332" customWidth="1"/>
    <col min="12564" max="12564" width="15.140625" style="332" customWidth="1"/>
    <col min="12565" max="12591" width="8" style="332" customWidth="1"/>
    <col min="12592" max="12800" width="8" style="332"/>
    <col min="12801" max="12801" width="0" style="332" hidden="1" customWidth="1"/>
    <col min="12802" max="12802" width="4.7109375" style="332" customWidth="1"/>
    <col min="12803" max="12803" width="72.5703125" style="332" customWidth="1"/>
    <col min="12804" max="12804" width="15.42578125" style="332" customWidth="1"/>
    <col min="12805" max="12805" width="16.28515625" style="332" customWidth="1"/>
    <col min="12806" max="12811" width="17.28515625" style="332" customWidth="1"/>
    <col min="12812" max="12818" width="0" style="332" hidden="1" customWidth="1"/>
    <col min="12819" max="12819" width="12.140625" style="332" customWidth="1"/>
    <col min="12820" max="12820" width="15.140625" style="332" customWidth="1"/>
    <col min="12821" max="12847" width="8" style="332" customWidth="1"/>
    <col min="12848" max="13056" width="8" style="332"/>
    <col min="13057" max="13057" width="0" style="332" hidden="1" customWidth="1"/>
    <col min="13058" max="13058" width="4.7109375" style="332" customWidth="1"/>
    <col min="13059" max="13059" width="72.5703125" style="332" customWidth="1"/>
    <col min="13060" max="13060" width="15.42578125" style="332" customWidth="1"/>
    <col min="13061" max="13061" width="16.28515625" style="332" customWidth="1"/>
    <col min="13062" max="13067" width="17.28515625" style="332" customWidth="1"/>
    <col min="13068" max="13074" width="0" style="332" hidden="1" customWidth="1"/>
    <col min="13075" max="13075" width="12.140625" style="332" customWidth="1"/>
    <col min="13076" max="13076" width="15.140625" style="332" customWidth="1"/>
    <col min="13077" max="13103" width="8" style="332" customWidth="1"/>
    <col min="13104" max="13312" width="8" style="332"/>
    <col min="13313" max="13313" width="0" style="332" hidden="1" customWidth="1"/>
    <col min="13314" max="13314" width="4.7109375" style="332" customWidth="1"/>
    <col min="13315" max="13315" width="72.5703125" style="332" customWidth="1"/>
    <col min="13316" max="13316" width="15.42578125" style="332" customWidth="1"/>
    <col min="13317" max="13317" width="16.28515625" style="332" customWidth="1"/>
    <col min="13318" max="13323" width="17.28515625" style="332" customWidth="1"/>
    <col min="13324" max="13330" width="0" style="332" hidden="1" customWidth="1"/>
    <col min="13331" max="13331" width="12.140625" style="332" customWidth="1"/>
    <col min="13332" max="13332" width="15.140625" style="332" customWidth="1"/>
    <col min="13333" max="13359" width="8" style="332" customWidth="1"/>
    <col min="13360" max="13568" width="8" style="332"/>
    <col min="13569" max="13569" width="0" style="332" hidden="1" customWidth="1"/>
    <col min="13570" max="13570" width="4.7109375" style="332" customWidth="1"/>
    <col min="13571" max="13571" width="72.5703125" style="332" customWidth="1"/>
    <col min="13572" max="13572" width="15.42578125" style="332" customWidth="1"/>
    <col min="13573" max="13573" width="16.28515625" style="332" customWidth="1"/>
    <col min="13574" max="13579" width="17.28515625" style="332" customWidth="1"/>
    <col min="13580" max="13586" width="0" style="332" hidden="1" customWidth="1"/>
    <col min="13587" max="13587" width="12.140625" style="332" customWidth="1"/>
    <col min="13588" max="13588" width="15.140625" style="332" customWidth="1"/>
    <col min="13589" max="13615" width="8" style="332" customWidth="1"/>
    <col min="13616" max="13824" width="8" style="332"/>
    <col min="13825" max="13825" width="0" style="332" hidden="1" customWidth="1"/>
    <col min="13826" max="13826" width="4.7109375" style="332" customWidth="1"/>
    <col min="13827" max="13827" width="72.5703125" style="332" customWidth="1"/>
    <col min="13828" max="13828" width="15.42578125" style="332" customWidth="1"/>
    <col min="13829" max="13829" width="16.28515625" style="332" customWidth="1"/>
    <col min="13830" max="13835" width="17.28515625" style="332" customWidth="1"/>
    <col min="13836" max="13842" width="0" style="332" hidden="1" customWidth="1"/>
    <col min="13843" max="13843" width="12.140625" style="332" customWidth="1"/>
    <col min="13844" max="13844" width="15.140625" style="332" customWidth="1"/>
    <col min="13845" max="13871" width="8" style="332" customWidth="1"/>
    <col min="13872" max="14080" width="8" style="332"/>
    <col min="14081" max="14081" width="0" style="332" hidden="1" customWidth="1"/>
    <col min="14082" max="14082" width="4.7109375" style="332" customWidth="1"/>
    <col min="14083" max="14083" width="72.5703125" style="332" customWidth="1"/>
    <col min="14084" max="14084" width="15.42578125" style="332" customWidth="1"/>
    <col min="14085" max="14085" width="16.28515625" style="332" customWidth="1"/>
    <col min="14086" max="14091" width="17.28515625" style="332" customWidth="1"/>
    <col min="14092" max="14098" width="0" style="332" hidden="1" customWidth="1"/>
    <col min="14099" max="14099" width="12.140625" style="332" customWidth="1"/>
    <col min="14100" max="14100" width="15.140625" style="332" customWidth="1"/>
    <col min="14101" max="14127" width="8" style="332" customWidth="1"/>
    <col min="14128" max="14336" width="8" style="332"/>
    <col min="14337" max="14337" width="0" style="332" hidden="1" customWidth="1"/>
    <col min="14338" max="14338" width="4.7109375" style="332" customWidth="1"/>
    <col min="14339" max="14339" width="72.5703125" style="332" customWidth="1"/>
    <col min="14340" max="14340" width="15.42578125" style="332" customWidth="1"/>
    <col min="14341" max="14341" width="16.28515625" style="332" customWidth="1"/>
    <col min="14342" max="14347" width="17.28515625" style="332" customWidth="1"/>
    <col min="14348" max="14354" width="0" style="332" hidden="1" customWidth="1"/>
    <col min="14355" max="14355" width="12.140625" style="332" customWidth="1"/>
    <col min="14356" max="14356" width="15.140625" style="332" customWidth="1"/>
    <col min="14357" max="14383" width="8" style="332" customWidth="1"/>
    <col min="14384" max="14592" width="8" style="332"/>
    <col min="14593" max="14593" width="0" style="332" hidden="1" customWidth="1"/>
    <col min="14594" max="14594" width="4.7109375" style="332" customWidth="1"/>
    <col min="14595" max="14595" width="72.5703125" style="332" customWidth="1"/>
    <col min="14596" max="14596" width="15.42578125" style="332" customWidth="1"/>
    <col min="14597" max="14597" width="16.28515625" style="332" customWidth="1"/>
    <col min="14598" max="14603" width="17.28515625" style="332" customWidth="1"/>
    <col min="14604" max="14610" width="0" style="332" hidden="1" customWidth="1"/>
    <col min="14611" max="14611" width="12.140625" style="332" customWidth="1"/>
    <col min="14612" max="14612" width="15.140625" style="332" customWidth="1"/>
    <col min="14613" max="14639" width="8" style="332" customWidth="1"/>
    <col min="14640" max="14848" width="8" style="332"/>
    <col min="14849" max="14849" width="0" style="332" hidden="1" customWidth="1"/>
    <col min="14850" max="14850" width="4.7109375" style="332" customWidth="1"/>
    <col min="14851" max="14851" width="72.5703125" style="332" customWidth="1"/>
    <col min="14852" max="14852" width="15.42578125" style="332" customWidth="1"/>
    <col min="14853" max="14853" width="16.28515625" style="332" customWidth="1"/>
    <col min="14854" max="14859" width="17.28515625" style="332" customWidth="1"/>
    <col min="14860" max="14866" width="0" style="332" hidden="1" customWidth="1"/>
    <col min="14867" max="14867" width="12.140625" style="332" customWidth="1"/>
    <col min="14868" max="14868" width="15.140625" style="332" customWidth="1"/>
    <col min="14869" max="14895" width="8" style="332" customWidth="1"/>
    <col min="14896" max="15104" width="8" style="332"/>
    <col min="15105" max="15105" width="0" style="332" hidden="1" customWidth="1"/>
    <col min="15106" max="15106" width="4.7109375" style="332" customWidth="1"/>
    <col min="15107" max="15107" width="72.5703125" style="332" customWidth="1"/>
    <col min="15108" max="15108" width="15.42578125" style="332" customWidth="1"/>
    <col min="15109" max="15109" width="16.28515625" style="332" customWidth="1"/>
    <col min="15110" max="15115" width="17.28515625" style="332" customWidth="1"/>
    <col min="15116" max="15122" width="0" style="332" hidden="1" customWidth="1"/>
    <col min="15123" max="15123" width="12.140625" style="332" customWidth="1"/>
    <col min="15124" max="15124" width="15.140625" style="332" customWidth="1"/>
    <col min="15125" max="15151" width="8" style="332" customWidth="1"/>
    <col min="15152" max="15360" width="8" style="332"/>
    <col min="15361" max="15361" width="0" style="332" hidden="1" customWidth="1"/>
    <col min="15362" max="15362" width="4.7109375" style="332" customWidth="1"/>
    <col min="15363" max="15363" width="72.5703125" style="332" customWidth="1"/>
    <col min="15364" max="15364" width="15.42578125" style="332" customWidth="1"/>
    <col min="15365" max="15365" width="16.28515625" style="332" customWidth="1"/>
    <col min="15366" max="15371" width="17.28515625" style="332" customWidth="1"/>
    <col min="15372" max="15378" width="0" style="332" hidden="1" customWidth="1"/>
    <col min="15379" max="15379" width="12.140625" style="332" customWidth="1"/>
    <col min="15380" max="15380" width="15.140625" style="332" customWidth="1"/>
    <col min="15381" max="15407" width="8" style="332" customWidth="1"/>
    <col min="15408" max="15616" width="8" style="332"/>
    <col min="15617" max="15617" width="0" style="332" hidden="1" customWidth="1"/>
    <col min="15618" max="15618" width="4.7109375" style="332" customWidth="1"/>
    <col min="15619" max="15619" width="72.5703125" style="332" customWidth="1"/>
    <col min="15620" max="15620" width="15.42578125" style="332" customWidth="1"/>
    <col min="15621" max="15621" width="16.28515625" style="332" customWidth="1"/>
    <col min="15622" max="15627" width="17.28515625" style="332" customWidth="1"/>
    <col min="15628" max="15634" width="0" style="332" hidden="1" customWidth="1"/>
    <col min="15635" max="15635" width="12.140625" style="332" customWidth="1"/>
    <col min="15636" max="15636" width="15.140625" style="332" customWidth="1"/>
    <col min="15637" max="15663" width="8" style="332" customWidth="1"/>
    <col min="15664" max="15872" width="8" style="332"/>
    <col min="15873" max="15873" width="0" style="332" hidden="1" customWidth="1"/>
    <col min="15874" max="15874" width="4.7109375" style="332" customWidth="1"/>
    <col min="15875" max="15875" width="72.5703125" style="332" customWidth="1"/>
    <col min="15876" max="15876" width="15.42578125" style="332" customWidth="1"/>
    <col min="15877" max="15877" width="16.28515625" style="332" customWidth="1"/>
    <col min="15878" max="15883" width="17.28515625" style="332" customWidth="1"/>
    <col min="15884" max="15890" width="0" style="332" hidden="1" customWidth="1"/>
    <col min="15891" max="15891" width="12.140625" style="332" customWidth="1"/>
    <col min="15892" max="15892" width="15.140625" style="332" customWidth="1"/>
    <col min="15893" max="15919" width="8" style="332" customWidth="1"/>
    <col min="15920" max="16128" width="8" style="332"/>
    <col min="16129" max="16129" width="0" style="332" hidden="1" customWidth="1"/>
    <col min="16130" max="16130" width="4.7109375" style="332" customWidth="1"/>
    <col min="16131" max="16131" width="72.5703125" style="332" customWidth="1"/>
    <col min="16132" max="16132" width="15.42578125" style="332" customWidth="1"/>
    <col min="16133" max="16133" width="16.28515625" style="332" customWidth="1"/>
    <col min="16134" max="16139" width="17.28515625" style="332" customWidth="1"/>
    <col min="16140" max="16146" width="0" style="332" hidden="1" customWidth="1"/>
    <col min="16147" max="16147" width="12.140625" style="332" customWidth="1"/>
    <col min="16148" max="16148" width="15.140625" style="332" customWidth="1"/>
    <col min="16149" max="16175" width="8" style="332" customWidth="1"/>
    <col min="16176" max="16384" width="8" style="332"/>
  </cols>
  <sheetData>
    <row r="1" spans="1:255" x14ac:dyDescent="0.2">
      <c r="K1" s="331"/>
    </row>
    <row r="2" spans="1:255" x14ac:dyDescent="0.2">
      <c r="K2" s="331" t="s">
        <v>719</v>
      </c>
    </row>
    <row r="3" spans="1:255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1192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8"/>
      <c r="N6" s="68"/>
      <c r="O6" s="68"/>
    </row>
    <row r="7" spans="1:255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328"/>
      <c r="M7" s="333" t="s">
        <v>556</v>
      </c>
      <c r="N7" s="334" t="s">
        <v>557</v>
      </c>
      <c r="O7" s="334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6">
        <v>1</v>
      </c>
      <c r="N8" s="336">
        <v>16</v>
      </c>
      <c r="O8" s="336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9" customFormat="1" ht="32.25" customHeight="1" x14ac:dyDescent="0.3">
      <c r="A9" s="230"/>
      <c r="B9" s="227" t="s">
        <v>1045</v>
      </c>
      <c r="C9" s="228" t="s">
        <v>562</v>
      </c>
      <c r="D9" s="290">
        <f>D17+D18</f>
        <v>4827.7</v>
      </c>
      <c r="E9" s="290">
        <f t="shared" ref="E9:K9" si="0">E17+E18</f>
        <v>982</v>
      </c>
      <c r="F9" s="290">
        <f t="shared" si="0"/>
        <v>624</v>
      </c>
      <c r="G9" s="290">
        <f t="shared" si="0"/>
        <v>488</v>
      </c>
      <c r="H9" s="290">
        <f t="shared" si="0"/>
        <v>1116.7</v>
      </c>
      <c r="I9" s="290">
        <f t="shared" si="0"/>
        <v>570</v>
      </c>
      <c r="J9" s="290">
        <f t="shared" si="0"/>
        <v>531</v>
      </c>
      <c r="K9" s="290">
        <f t="shared" si="0"/>
        <v>516</v>
      </c>
      <c r="L9" s="338">
        <f t="shared" ref="L9:R9" si="1">L12+L13+L14+L15+L18+L16</f>
        <v>0</v>
      </c>
      <c r="M9" s="338">
        <f t="shared" si="1"/>
        <v>0</v>
      </c>
      <c r="N9" s="338">
        <f t="shared" si="1"/>
        <v>0</v>
      </c>
      <c r="O9" s="338">
        <f t="shared" si="1"/>
        <v>0</v>
      </c>
      <c r="P9" s="338">
        <f t="shared" si="1"/>
        <v>0</v>
      </c>
      <c r="Q9" s="338">
        <f t="shared" si="1"/>
        <v>0</v>
      </c>
      <c r="R9" s="338">
        <f t="shared" si="1"/>
        <v>0</v>
      </c>
      <c r="S9" s="229"/>
      <c r="T9" s="229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ht="15" hidden="1" customHeight="1" x14ac:dyDescent="0.25">
      <c r="A10" s="73"/>
      <c r="B10" s="74"/>
      <c r="C10" s="197"/>
      <c r="D10" s="290">
        <f t="shared" ref="D10:D18" si="2">E10+F10+G10+H10+I10+J10+K10</f>
        <v>0</v>
      </c>
      <c r="E10" s="291"/>
      <c r="F10" s="291"/>
      <c r="G10" s="291"/>
      <c r="H10" s="291"/>
      <c r="I10" s="291"/>
      <c r="J10" s="291"/>
      <c r="K10" s="291"/>
      <c r="L10" s="341"/>
      <c r="M10" s="342"/>
      <c r="N10" s="342"/>
      <c r="O10" s="342"/>
      <c r="P10" s="343"/>
      <c r="Q10" s="343"/>
      <c r="R10" s="344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7"/>
      <c r="D11" s="290">
        <f t="shared" si="2"/>
        <v>0</v>
      </c>
      <c r="E11" s="291"/>
      <c r="F11" s="291"/>
      <c r="G11" s="291"/>
      <c r="H11" s="291"/>
      <c r="I11" s="291"/>
      <c r="J11" s="291"/>
      <c r="K11" s="291"/>
      <c r="L11" s="341"/>
      <c r="M11" s="342"/>
      <c r="N11" s="342"/>
      <c r="O11" s="342"/>
      <c r="P11" s="343"/>
      <c r="Q11" s="343"/>
      <c r="R11" s="344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3" t="s">
        <v>394</v>
      </c>
      <c r="D12" s="292">
        <f t="shared" si="2"/>
        <v>0</v>
      </c>
      <c r="E12" s="291"/>
      <c r="F12" s="291"/>
      <c r="G12" s="291"/>
      <c r="H12" s="291"/>
      <c r="I12" s="291"/>
      <c r="J12" s="291"/>
      <c r="K12" s="291"/>
      <c r="L12" s="341"/>
      <c r="M12" s="345"/>
      <c r="N12" s="346"/>
      <c r="O12" s="346"/>
      <c r="P12" s="343"/>
      <c r="Q12" s="343"/>
      <c r="R12" s="344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8" customFormat="1" ht="59.25" hidden="1" customHeight="1" x14ac:dyDescent="0.25">
      <c r="A13" s="73"/>
      <c r="B13" s="74"/>
      <c r="C13" s="330" t="s">
        <v>764</v>
      </c>
      <c r="D13" s="292">
        <f t="shared" si="2"/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341"/>
      <c r="M13" s="347"/>
      <c r="N13" s="347"/>
      <c r="O13" s="347"/>
      <c r="P13" s="347"/>
      <c r="Q13" s="347"/>
      <c r="R13" s="347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8" customFormat="1" ht="46.5" hidden="1" customHeight="1" x14ac:dyDescent="0.25">
      <c r="A14" s="73"/>
      <c r="B14" s="74"/>
      <c r="C14" s="197" t="s">
        <v>151</v>
      </c>
      <c r="D14" s="292">
        <f t="shared" si="2"/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341"/>
      <c r="M14" s="345"/>
      <c r="N14" s="346"/>
      <c r="O14" s="349"/>
      <c r="P14" s="343"/>
      <c r="Q14" s="343"/>
      <c r="R14" s="344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8" customFormat="1" ht="81.75" hidden="1" customHeight="1" x14ac:dyDescent="0.25">
      <c r="A15" s="73"/>
      <c r="B15" s="74"/>
      <c r="C15" s="31" t="s">
        <v>395</v>
      </c>
      <c r="D15" s="292">
        <f t="shared" si="2"/>
        <v>0</v>
      </c>
      <c r="E15" s="291"/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341"/>
      <c r="M15" s="345"/>
      <c r="N15" s="346"/>
      <c r="O15" s="349"/>
      <c r="P15" s="343"/>
      <c r="Q15" s="343"/>
      <c r="R15" s="344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8" customFormat="1" ht="57" hidden="1" customHeight="1" x14ac:dyDescent="0.25">
      <c r="A16" s="73"/>
      <c r="B16" s="74"/>
      <c r="C16" s="31" t="s">
        <v>767</v>
      </c>
      <c r="D16" s="292">
        <f t="shared" si="2"/>
        <v>0</v>
      </c>
      <c r="E16" s="291">
        <v>0</v>
      </c>
      <c r="F16" s="291"/>
      <c r="G16" s="291"/>
      <c r="H16" s="291"/>
      <c r="I16" s="291"/>
      <c r="J16" s="291"/>
      <c r="K16" s="291"/>
      <c r="L16" s="341"/>
      <c r="M16" s="345"/>
      <c r="N16" s="346"/>
      <c r="O16" s="349"/>
      <c r="P16" s="343"/>
      <c r="Q16" s="343"/>
      <c r="R16" s="344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8" customFormat="1" ht="48.75" hidden="1" customHeight="1" x14ac:dyDescent="0.25">
      <c r="A17" s="73"/>
      <c r="B17" s="74" t="s">
        <v>561</v>
      </c>
      <c r="C17" s="197" t="s">
        <v>1195</v>
      </c>
      <c r="D17" s="292">
        <f t="shared" si="2"/>
        <v>0</v>
      </c>
      <c r="E17" s="291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341"/>
      <c r="M17" s="345"/>
      <c r="N17" s="346"/>
      <c r="O17" s="349"/>
      <c r="P17" s="343"/>
      <c r="Q17" s="343"/>
      <c r="R17" s="344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561</v>
      </c>
      <c r="C18" s="50" t="s">
        <v>763</v>
      </c>
      <c r="D18" s="292">
        <f t="shared" si="2"/>
        <v>4827.7</v>
      </c>
      <c r="E18" s="291">
        <v>982</v>
      </c>
      <c r="F18" s="291">
        <v>624</v>
      </c>
      <c r="G18" s="291">
        <v>488</v>
      </c>
      <c r="H18" s="291">
        <v>1116.7</v>
      </c>
      <c r="I18" s="291">
        <v>570</v>
      </c>
      <c r="J18" s="291">
        <v>531</v>
      </c>
      <c r="K18" s="291">
        <v>516</v>
      </c>
      <c r="L18" s="341"/>
      <c r="M18" s="345"/>
      <c r="N18" s="346"/>
      <c r="O18" s="349"/>
      <c r="P18" s="343"/>
      <c r="Q18" s="343"/>
      <c r="R18" s="344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2"/>
      <c r="E19" s="291"/>
      <c r="F19" s="291"/>
      <c r="G19" s="291"/>
      <c r="H19" s="291"/>
      <c r="I19" s="291"/>
      <c r="J19" s="291"/>
      <c r="K19" s="291"/>
      <c r="L19" s="341"/>
      <c r="M19" s="345"/>
      <c r="N19" s="346"/>
      <c r="O19" s="349"/>
      <c r="P19" s="343"/>
      <c r="Q19" s="343"/>
      <c r="R19" s="344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9" customFormat="1" ht="62.25" customHeight="1" x14ac:dyDescent="0.3">
      <c r="A20" s="230"/>
      <c r="B20" s="227" t="s">
        <v>1046</v>
      </c>
      <c r="C20" s="228" t="s">
        <v>763</v>
      </c>
      <c r="D20" s="290">
        <f>D21+D22+D23+D24</f>
        <v>26664.400000000001</v>
      </c>
      <c r="E20" s="290">
        <f t="shared" ref="E20:K20" si="3">E21+E22+E23+E24</f>
        <v>2374</v>
      </c>
      <c r="F20" s="290">
        <f t="shared" si="3"/>
        <v>3219</v>
      </c>
      <c r="G20" s="290">
        <f t="shared" si="3"/>
        <v>5687</v>
      </c>
      <c r="H20" s="290">
        <f t="shared" si="3"/>
        <v>4768</v>
      </c>
      <c r="I20" s="290">
        <f t="shared" si="3"/>
        <v>3011.3999999999996</v>
      </c>
      <c r="J20" s="290">
        <f t="shared" si="3"/>
        <v>3641</v>
      </c>
      <c r="K20" s="290">
        <f t="shared" si="3"/>
        <v>3964</v>
      </c>
      <c r="L20" s="338">
        <f t="shared" ref="L20:R20" si="4">L21</f>
        <v>0</v>
      </c>
      <c r="M20" s="338">
        <f t="shared" si="4"/>
        <v>0</v>
      </c>
      <c r="N20" s="338">
        <f t="shared" si="4"/>
        <v>0</v>
      </c>
      <c r="O20" s="338">
        <f t="shared" si="4"/>
        <v>0</v>
      </c>
      <c r="P20" s="338">
        <f t="shared" si="4"/>
        <v>0</v>
      </c>
      <c r="Q20" s="338">
        <f t="shared" si="4"/>
        <v>0</v>
      </c>
      <c r="R20" s="338">
        <f t="shared" si="4"/>
        <v>0</v>
      </c>
      <c r="S20" s="230"/>
      <c r="T20" s="229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ht="45" customHeight="1" x14ac:dyDescent="0.25">
      <c r="A21" s="73"/>
      <c r="B21" s="74" t="s">
        <v>561</v>
      </c>
      <c r="C21" s="31" t="s">
        <v>710</v>
      </c>
      <c r="D21" s="290">
        <f>E21+F21+G21+H21+I21+J21+K21</f>
        <v>26664.400000000001</v>
      </c>
      <c r="E21" s="291">
        <v>2374</v>
      </c>
      <c r="F21" s="291">
        <v>3219</v>
      </c>
      <c r="G21" s="291">
        <v>5687</v>
      </c>
      <c r="H21" s="291">
        <v>4768</v>
      </c>
      <c r="I21" s="291">
        <v>3011.3999999999996</v>
      </c>
      <c r="J21" s="291">
        <v>3641</v>
      </c>
      <c r="K21" s="291">
        <v>3964</v>
      </c>
      <c r="L21" s="341"/>
      <c r="M21" s="342"/>
      <c r="N21" s="342"/>
      <c r="O21" s="342"/>
      <c r="P21" s="342"/>
      <c r="Q21" s="342"/>
      <c r="R21" s="342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5"/>
      <c r="C22" s="329" t="s">
        <v>766</v>
      </c>
      <c r="D22" s="337">
        <f>E22+F22+G22+H22+I22+J22+K22</f>
        <v>0</v>
      </c>
      <c r="E22" s="340">
        <v>0</v>
      </c>
      <c r="F22" s="340"/>
      <c r="G22" s="340"/>
      <c r="H22" s="340"/>
      <c r="I22" s="340"/>
      <c r="J22" s="340"/>
      <c r="K22" s="340"/>
      <c r="L22" s="341"/>
      <c r="M22" s="342"/>
      <c r="N22" s="342"/>
      <c r="O22" s="342"/>
      <c r="P22" s="342"/>
      <c r="Q22" s="342"/>
      <c r="R22" s="342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0">
        <f>E23+F23+G23+H23+I23+J23+K23</f>
        <v>0</v>
      </c>
      <c r="E23" s="291"/>
      <c r="F23" s="291"/>
      <c r="G23" s="291">
        <v>0</v>
      </c>
      <c r="H23" s="291"/>
      <c r="I23" s="291">
        <v>0</v>
      </c>
      <c r="J23" s="291"/>
      <c r="K23" s="291"/>
      <c r="L23" s="341"/>
      <c r="M23" s="342"/>
      <c r="N23" s="342"/>
      <c r="O23" s="342"/>
      <c r="P23" s="342"/>
      <c r="Q23" s="342"/>
      <c r="R23" s="342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0">
        <f>E24+F24+G24+H24+I24+J24+K24</f>
        <v>0</v>
      </c>
      <c r="E24" s="291">
        <v>0</v>
      </c>
      <c r="F24" s="291"/>
      <c r="G24" s="291"/>
      <c r="H24" s="291"/>
      <c r="I24" s="291"/>
      <c r="J24" s="291"/>
      <c r="K24" s="291"/>
      <c r="L24" s="341"/>
      <c r="M24" s="342"/>
      <c r="N24" s="342"/>
      <c r="O24" s="342"/>
      <c r="P24" s="342"/>
      <c r="Q24" s="342"/>
      <c r="R24" s="342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9" customFormat="1" ht="25.5" x14ac:dyDescent="0.3">
      <c r="A25" s="230"/>
      <c r="B25" s="227"/>
      <c r="C25" s="231" t="s">
        <v>566</v>
      </c>
      <c r="D25" s="290">
        <f>D9+D20</f>
        <v>31492.100000000002</v>
      </c>
      <c r="E25" s="290">
        <f t="shared" ref="E25:R25" si="5">E9+E20</f>
        <v>3356</v>
      </c>
      <c r="F25" s="290">
        <f>F9+F20</f>
        <v>3843</v>
      </c>
      <c r="G25" s="290">
        <f t="shared" si="5"/>
        <v>6175</v>
      </c>
      <c r="H25" s="290">
        <f t="shared" si="5"/>
        <v>5884.7</v>
      </c>
      <c r="I25" s="290">
        <f t="shared" si="5"/>
        <v>3581.3999999999996</v>
      </c>
      <c r="J25" s="290">
        <f t="shared" si="5"/>
        <v>4172</v>
      </c>
      <c r="K25" s="290">
        <f t="shared" si="5"/>
        <v>4480</v>
      </c>
      <c r="L25" s="337">
        <f t="shared" si="5"/>
        <v>0</v>
      </c>
      <c r="M25" s="337">
        <f t="shared" si="5"/>
        <v>0</v>
      </c>
      <c r="N25" s="337">
        <f t="shared" si="5"/>
        <v>0</v>
      </c>
      <c r="O25" s="337">
        <f t="shared" si="5"/>
        <v>0</v>
      </c>
      <c r="P25" s="337">
        <f t="shared" si="5"/>
        <v>0</v>
      </c>
      <c r="Q25" s="337">
        <f t="shared" si="5"/>
        <v>0</v>
      </c>
      <c r="R25" s="337">
        <f t="shared" si="5"/>
        <v>0</v>
      </c>
      <c r="S25" s="232"/>
      <c r="T25" s="229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90" zoomScaleNormal="70" zoomScaleSheetLayoutView="90" workbookViewId="0">
      <selection activeCell="E20" sqref="E20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2"/>
    <col min="257" max="257" width="0" style="332" hidden="1" customWidth="1"/>
    <col min="258" max="258" width="4.7109375" style="332" customWidth="1"/>
    <col min="259" max="259" width="72.5703125" style="332" customWidth="1"/>
    <col min="260" max="260" width="15.42578125" style="332" customWidth="1"/>
    <col min="261" max="261" width="16.28515625" style="332" customWidth="1"/>
    <col min="262" max="267" width="17.28515625" style="332" customWidth="1"/>
    <col min="268" max="274" width="0" style="332" hidden="1" customWidth="1"/>
    <col min="275" max="275" width="12.140625" style="332" customWidth="1"/>
    <col min="276" max="276" width="15.140625" style="332" customWidth="1"/>
    <col min="277" max="303" width="8" style="332" customWidth="1"/>
    <col min="304" max="512" width="8" style="332"/>
    <col min="513" max="513" width="0" style="332" hidden="1" customWidth="1"/>
    <col min="514" max="514" width="4.7109375" style="332" customWidth="1"/>
    <col min="515" max="515" width="72.5703125" style="332" customWidth="1"/>
    <col min="516" max="516" width="15.42578125" style="332" customWidth="1"/>
    <col min="517" max="517" width="16.28515625" style="332" customWidth="1"/>
    <col min="518" max="523" width="17.28515625" style="332" customWidth="1"/>
    <col min="524" max="530" width="0" style="332" hidden="1" customWidth="1"/>
    <col min="531" max="531" width="12.140625" style="332" customWidth="1"/>
    <col min="532" max="532" width="15.140625" style="332" customWidth="1"/>
    <col min="533" max="559" width="8" style="332" customWidth="1"/>
    <col min="560" max="768" width="8" style="332"/>
    <col min="769" max="769" width="0" style="332" hidden="1" customWidth="1"/>
    <col min="770" max="770" width="4.7109375" style="332" customWidth="1"/>
    <col min="771" max="771" width="72.5703125" style="332" customWidth="1"/>
    <col min="772" max="772" width="15.42578125" style="332" customWidth="1"/>
    <col min="773" max="773" width="16.28515625" style="332" customWidth="1"/>
    <col min="774" max="779" width="17.28515625" style="332" customWidth="1"/>
    <col min="780" max="786" width="0" style="332" hidden="1" customWidth="1"/>
    <col min="787" max="787" width="12.140625" style="332" customWidth="1"/>
    <col min="788" max="788" width="15.140625" style="332" customWidth="1"/>
    <col min="789" max="815" width="8" style="332" customWidth="1"/>
    <col min="816" max="1024" width="8" style="332"/>
    <col min="1025" max="1025" width="0" style="332" hidden="1" customWidth="1"/>
    <col min="1026" max="1026" width="4.7109375" style="332" customWidth="1"/>
    <col min="1027" max="1027" width="72.5703125" style="332" customWidth="1"/>
    <col min="1028" max="1028" width="15.42578125" style="332" customWidth="1"/>
    <col min="1029" max="1029" width="16.28515625" style="332" customWidth="1"/>
    <col min="1030" max="1035" width="17.28515625" style="332" customWidth="1"/>
    <col min="1036" max="1042" width="0" style="332" hidden="1" customWidth="1"/>
    <col min="1043" max="1043" width="12.140625" style="332" customWidth="1"/>
    <col min="1044" max="1044" width="15.140625" style="332" customWidth="1"/>
    <col min="1045" max="1071" width="8" style="332" customWidth="1"/>
    <col min="1072" max="1280" width="8" style="332"/>
    <col min="1281" max="1281" width="0" style="332" hidden="1" customWidth="1"/>
    <col min="1282" max="1282" width="4.7109375" style="332" customWidth="1"/>
    <col min="1283" max="1283" width="72.5703125" style="332" customWidth="1"/>
    <col min="1284" max="1284" width="15.42578125" style="332" customWidth="1"/>
    <col min="1285" max="1285" width="16.28515625" style="332" customWidth="1"/>
    <col min="1286" max="1291" width="17.28515625" style="332" customWidth="1"/>
    <col min="1292" max="1298" width="0" style="332" hidden="1" customWidth="1"/>
    <col min="1299" max="1299" width="12.140625" style="332" customWidth="1"/>
    <col min="1300" max="1300" width="15.140625" style="332" customWidth="1"/>
    <col min="1301" max="1327" width="8" style="332" customWidth="1"/>
    <col min="1328" max="1536" width="8" style="332"/>
    <col min="1537" max="1537" width="0" style="332" hidden="1" customWidth="1"/>
    <col min="1538" max="1538" width="4.7109375" style="332" customWidth="1"/>
    <col min="1539" max="1539" width="72.5703125" style="332" customWidth="1"/>
    <col min="1540" max="1540" width="15.42578125" style="332" customWidth="1"/>
    <col min="1541" max="1541" width="16.28515625" style="332" customWidth="1"/>
    <col min="1542" max="1547" width="17.28515625" style="332" customWidth="1"/>
    <col min="1548" max="1554" width="0" style="332" hidden="1" customWidth="1"/>
    <col min="1555" max="1555" width="12.140625" style="332" customWidth="1"/>
    <col min="1556" max="1556" width="15.140625" style="332" customWidth="1"/>
    <col min="1557" max="1583" width="8" style="332" customWidth="1"/>
    <col min="1584" max="1792" width="8" style="332"/>
    <col min="1793" max="1793" width="0" style="332" hidden="1" customWidth="1"/>
    <col min="1794" max="1794" width="4.7109375" style="332" customWidth="1"/>
    <col min="1795" max="1795" width="72.5703125" style="332" customWidth="1"/>
    <col min="1796" max="1796" width="15.42578125" style="332" customWidth="1"/>
    <col min="1797" max="1797" width="16.28515625" style="332" customWidth="1"/>
    <col min="1798" max="1803" width="17.28515625" style="332" customWidth="1"/>
    <col min="1804" max="1810" width="0" style="332" hidden="1" customWidth="1"/>
    <col min="1811" max="1811" width="12.140625" style="332" customWidth="1"/>
    <col min="1812" max="1812" width="15.140625" style="332" customWidth="1"/>
    <col min="1813" max="1839" width="8" style="332" customWidth="1"/>
    <col min="1840" max="2048" width="8" style="332"/>
    <col min="2049" max="2049" width="0" style="332" hidden="1" customWidth="1"/>
    <col min="2050" max="2050" width="4.7109375" style="332" customWidth="1"/>
    <col min="2051" max="2051" width="72.5703125" style="332" customWidth="1"/>
    <col min="2052" max="2052" width="15.42578125" style="332" customWidth="1"/>
    <col min="2053" max="2053" width="16.28515625" style="332" customWidth="1"/>
    <col min="2054" max="2059" width="17.28515625" style="332" customWidth="1"/>
    <col min="2060" max="2066" width="0" style="332" hidden="1" customWidth="1"/>
    <col min="2067" max="2067" width="12.140625" style="332" customWidth="1"/>
    <col min="2068" max="2068" width="15.140625" style="332" customWidth="1"/>
    <col min="2069" max="2095" width="8" style="332" customWidth="1"/>
    <col min="2096" max="2304" width="8" style="332"/>
    <col min="2305" max="2305" width="0" style="332" hidden="1" customWidth="1"/>
    <col min="2306" max="2306" width="4.7109375" style="332" customWidth="1"/>
    <col min="2307" max="2307" width="72.5703125" style="332" customWidth="1"/>
    <col min="2308" max="2308" width="15.42578125" style="332" customWidth="1"/>
    <col min="2309" max="2309" width="16.28515625" style="332" customWidth="1"/>
    <col min="2310" max="2315" width="17.28515625" style="332" customWidth="1"/>
    <col min="2316" max="2322" width="0" style="332" hidden="1" customWidth="1"/>
    <col min="2323" max="2323" width="12.140625" style="332" customWidth="1"/>
    <col min="2324" max="2324" width="15.140625" style="332" customWidth="1"/>
    <col min="2325" max="2351" width="8" style="332" customWidth="1"/>
    <col min="2352" max="2560" width="8" style="332"/>
    <col min="2561" max="2561" width="0" style="332" hidden="1" customWidth="1"/>
    <col min="2562" max="2562" width="4.7109375" style="332" customWidth="1"/>
    <col min="2563" max="2563" width="72.5703125" style="332" customWidth="1"/>
    <col min="2564" max="2564" width="15.42578125" style="332" customWidth="1"/>
    <col min="2565" max="2565" width="16.28515625" style="332" customWidth="1"/>
    <col min="2566" max="2571" width="17.28515625" style="332" customWidth="1"/>
    <col min="2572" max="2578" width="0" style="332" hidden="1" customWidth="1"/>
    <col min="2579" max="2579" width="12.140625" style="332" customWidth="1"/>
    <col min="2580" max="2580" width="15.140625" style="332" customWidth="1"/>
    <col min="2581" max="2607" width="8" style="332" customWidth="1"/>
    <col min="2608" max="2816" width="8" style="332"/>
    <col min="2817" max="2817" width="0" style="332" hidden="1" customWidth="1"/>
    <col min="2818" max="2818" width="4.7109375" style="332" customWidth="1"/>
    <col min="2819" max="2819" width="72.5703125" style="332" customWidth="1"/>
    <col min="2820" max="2820" width="15.42578125" style="332" customWidth="1"/>
    <col min="2821" max="2821" width="16.28515625" style="332" customWidth="1"/>
    <col min="2822" max="2827" width="17.28515625" style="332" customWidth="1"/>
    <col min="2828" max="2834" width="0" style="332" hidden="1" customWidth="1"/>
    <col min="2835" max="2835" width="12.140625" style="332" customWidth="1"/>
    <col min="2836" max="2836" width="15.140625" style="332" customWidth="1"/>
    <col min="2837" max="2863" width="8" style="332" customWidth="1"/>
    <col min="2864" max="3072" width="8" style="332"/>
    <col min="3073" max="3073" width="0" style="332" hidden="1" customWidth="1"/>
    <col min="3074" max="3074" width="4.7109375" style="332" customWidth="1"/>
    <col min="3075" max="3075" width="72.5703125" style="332" customWidth="1"/>
    <col min="3076" max="3076" width="15.42578125" style="332" customWidth="1"/>
    <col min="3077" max="3077" width="16.28515625" style="332" customWidth="1"/>
    <col min="3078" max="3083" width="17.28515625" style="332" customWidth="1"/>
    <col min="3084" max="3090" width="0" style="332" hidden="1" customWidth="1"/>
    <col min="3091" max="3091" width="12.140625" style="332" customWidth="1"/>
    <col min="3092" max="3092" width="15.140625" style="332" customWidth="1"/>
    <col min="3093" max="3119" width="8" style="332" customWidth="1"/>
    <col min="3120" max="3328" width="8" style="332"/>
    <col min="3329" max="3329" width="0" style="332" hidden="1" customWidth="1"/>
    <col min="3330" max="3330" width="4.7109375" style="332" customWidth="1"/>
    <col min="3331" max="3331" width="72.5703125" style="332" customWidth="1"/>
    <col min="3332" max="3332" width="15.42578125" style="332" customWidth="1"/>
    <col min="3333" max="3333" width="16.28515625" style="332" customWidth="1"/>
    <col min="3334" max="3339" width="17.28515625" style="332" customWidth="1"/>
    <col min="3340" max="3346" width="0" style="332" hidden="1" customWidth="1"/>
    <col min="3347" max="3347" width="12.140625" style="332" customWidth="1"/>
    <col min="3348" max="3348" width="15.140625" style="332" customWidth="1"/>
    <col min="3349" max="3375" width="8" style="332" customWidth="1"/>
    <col min="3376" max="3584" width="8" style="332"/>
    <col min="3585" max="3585" width="0" style="332" hidden="1" customWidth="1"/>
    <col min="3586" max="3586" width="4.7109375" style="332" customWidth="1"/>
    <col min="3587" max="3587" width="72.5703125" style="332" customWidth="1"/>
    <col min="3588" max="3588" width="15.42578125" style="332" customWidth="1"/>
    <col min="3589" max="3589" width="16.28515625" style="332" customWidth="1"/>
    <col min="3590" max="3595" width="17.28515625" style="332" customWidth="1"/>
    <col min="3596" max="3602" width="0" style="332" hidden="1" customWidth="1"/>
    <col min="3603" max="3603" width="12.140625" style="332" customWidth="1"/>
    <col min="3604" max="3604" width="15.140625" style="332" customWidth="1"/>
    <col min="3605" max="3631" width="8" style="332" customWidth="1"/>
    <col min="3632" max="3840" width="8" style="332"/>
    <col min="3841" max="3841" width="0" style="332" hidden="1" customWidth="1"/>
    <col min="3842" max="3842" width="4.7109375" style="332" customWidth="1"/>
    <col min="3843" max="3843" width="72.5703125" style="332" customWidth="1"/>
    <col min="3844" max="3844" width="15.42578125" style="332" customWidth="1"/>
    <col min="3845" max="3845" width="16.28515625" style="332" customWidth="1"/>
    <col min="3846" max="3851" width="17.28515625" style="332" customWidth="1"/>
    <col min="3852" max="3858" width="0" style="332" hidden="1" customWidth="1"/>
    <col min="3859" max="3859" width="12.140625" style="332" customWidth="1"/>
    <col min="3860" max="3860" width="15.140625" style="332" customWidth="1"/>
    <col min="3861" max="3887" width="8" style="332" customWidth="1"/>
    <col min="3888" max="4096" width="8" style="332"/>
    <col min="4097" max="4097" width="0" style="332" hidden="1" customWidth="1"/>
    <col min="4098" max="4098" width="4.7109375" style="332" customWidth="1"/>
    <col min="4099" max="4099" width="72.5703125" style="332" customWidth="1"/>
    <col min="4100" max="4100" width="15.42578125" style="332" customWidth="1"/>
    <col min="4101" max="4101" width="16.28515625" style="332" customWidth="1"/>
    <col min="4102" max="4107" width="17.28515625" style="332" customWidth="1"/>
    <col min="4108" max="4114" width="0" style="332" hidden="1" customWidth="1"/>
    <col min="4115" max="4115" width="12.140625" style="332" customWidth="1"/>
    <col min="4116" max="4116" width="15.140625" style="332" customWidth="1"/>
    <col min="4117" max="4143" width="8" style="332" customWidth="1"/>
    <col min="4144" max="4352" width="8" style="332"/>
    <col min="4353" max="4353" width="0" style="332" hidden="1" customWidth="1"/>
    <col min="4354" max="4354" width="4.7109375" style="332" customWidth="1"/>
    <col min="4355" max="4355" width="72.5703125" style="332" customWidth="1"/>
    <col min="4356" max="4356" width="15.42578125" style="332" customWidth="1"/>
    <col min="4357" max="4357" width="16.28515625" style="332" customWidth="1"/>
    <col min="4358" max="4363" width="17.28515625" style="332" customWidth="1"/>
    <col min="4364" max="4370" width="0" style="332" hidden="1" customWidth="1"/>
    <col min="4371" max="4371" width="12.140625" style="332" customWidth="1"/>
    <col min="4372" max="4372" width="15.140625" style="332" customWidth="1"/>
    <col min="4373" max="4399" width="8" style="332" customWidth="1"/>
    <col min="4400" max="4608" width="8" style="332"/>
    <col min="4609" max="4609" width="0" style="332" hidden="1" customWidth="1"/>
    <col min="4610" max="4610" width="4.7109375" style="332" customWidth="1"/>
    <col min="4611" max="4611" width="72.5703125" style="332" customWidth="1"/>
    <col min="4612" max="4612" width="15.42578125" style="332" customWidth="1"/>
    <col min="4613" max="4613" width="16.28515625" style="332" customWidth="1"/>
    <col min="4614" max="4619" width="17.28515625" style="332" customWidth="1"/>
    <col min="4620" max="4626" width="0" style="332" hidden="1" customWidth="1"/>
    <col min="4627" max="4627" width="12.140625" style="332" customWidth="1"/>
    <col min="4628" max="4628" width="15.140625" style="332" customWidth="1"/>
    <col min="4629" max="4655" width="8" style="332" customWidth="1"/>
    <col min="4656" max="4864" width="8" style="332"/>
    <col min="4865" max="4865" width="0" style="332" hidden="1" customWidth="1"/>
    <col min="4866" max="4866" width="4.7109375" style="332" customWidth="1"/>
    <col min="4867" max="4867" width="72.5703125" style="332" customWidth="1"/>
    <col min="4868" max="4868" width="15.42578125" style="332" customWidth="1"/>
    <col min="4869" max="4869" width="16.28515625" style="332" customWidth="1"/>
    <col min="4870" max="4875" width="17.28515625" style="332" customWidth="1"/>
    <col min="4876" max="4882" width="0" style="332" hidden="1" customWidth="1"/>
    <col min="4883" max="4883" width="12.140625" style="332" customWidth="1"/>
    <col min="4884" max="4884" width="15.140625" style="332" customWidth="1"/>
    <col min="4885" max="4911" width="8" style="332" customWidth="1"/>
    <col min="4912" max="5120" width="8" style="332"/>
    <col min="5121" max="5121" width="0" style="332" hidden="1" customWidth="1"/>
    <col min="5122" max="5122" width="4.7109375" style="332" customWidth="1"/>
    <col min="5123" max="5123" width="72.5703125" style="332" customWidth="1"/>
    <col min="5124" max="5124" width="15.42578125" style="332" customWidth="1"/>
    <col min="5125" max="5125" width="16.28515625" style="332" customWidth="1"/>
    <col min="5126" max="5131" width="17.28515625" style="332" customWidth="1"/>
    <col min="5132" max="5138" width="0" style="332" hidden="1" customWidth="1"/>
    <col min="5139" max="5139" width="12.140625" style="332" customWidth="1"/>
    <col min="5140" max="5140" width="15.140625" style="332" customWidth="1"/>
    <col min="5141" max="5167" width="8" style="332" customWidth="1"/>
    <col min="5168" max="5376" width="8" style="332"/>
    <col min="5377" max="5377" width="0" style="332" hidden="1" customWidth="1"/>
    <col min="5378" max="5378" width="4.7109375" style="332" customWidth="1"/>
    <col min="5379" max="5379" width="72.5703125" style="332" customWidth="1"/>
    <col min="5380" max="5380" width="15.42578125" style="332" customWidth="1"/>
    <col min="5381" max="5381" width="16.28515625" style="332" customWidth="1"/>
    <col min="5382" max="5387" width="17.28515625" style="332" customWidth="1"/>
    <col min="5388" max="5394" width="0" style="332" hidden="1" customWidth="1"/>
    <col min="5395" max="5395" width="12.140625" style="332" customWidth="1"/>
    <col min="5396" max="5396" width="15.140625" style="332" customWidth="1"/>
    <col min="5397" max="5423" width="8" style="332" customWidth="1"/>
    <col min="5424" max="5632" width="8" style="332"/>
    <col min="5633" max="5633" width="0" style="332" hidden="1" customWidth="1"/>
    <col min="5634" max="5634" width="4.7109375" style="332" customWidth="1"/>
    <col min="5635" max="5635" width="72.5703125" style="332" customWidth="1"/>
    <col min="5636" max="5636" width="15.42578125" style="332" customWidth="1"/>
    <col min="5637" max="5637" width="16.28515625" style="332" customWidth="1"/>
    <col min="5638" max="5643" width="17.28515625" style="332" customWidth="1"/>
    <col min="5644" max="5650" width="0" style="332" hidden="1" customWidth="1"/>
    <col min="5651" max="5651" width="12.140625" style="332" customWidth="1"/>
    <col min="5652" max="5652" width="15.140625" style="332" customWidth="1"/>
    <col min="5653" max="5679" width="8" style="332" customWidth="1"/>
    <col min="5680" max="5888" width="8" style="332"/>
    <col min="5889" max="5889" width="0" style="332" hidden="1" customWidth="1"/>
    <col min="5890" max="5890" width="4.7109375" style="332" customWidth="1"/>
    <col min="5891" max="5891" width="72.5703125" style="332" customWidth="1"/>
    <col min="5892" max="5892" width="15.42578125" style="332" customWidth="1"/>
    <col min="5893" max="5893" width="16.28515625" style="332" customWidth="1"/>
    <col min="5894" max="5899" width="17.28515625" style="332" customWidth="1"/>
    <col min="5900" max="5906" width="0" style="332" hidden="1" customWidth="1"/>
    <col min="5907" max="5907" width="12.140625" style="332" customWidth="1"/>
    <col min="5908" max="5908" width="15.140625" style="332" customWidth="1"/>
    <col min="5909" max="5935" width="8" style="332" customWidth="1"/>
    <col min="5936" max="6144" width="8" style="332"/>
    <col min="6145" max="6145" width="0" style="332" hidden="1" customWidth="1"/>
    <col min="6146" max="6146" width="4.7109375" style="332" customWidth="1"/>
    <col min="6147" max="6147" width="72.5703125" style="332" customWidth="1"/>
    <col min="6148" max="6148" width="15.42578125" style="332" customWidth="1"/>
    <col min="6149" max="6149" width="16.28515625" style="332" customWidth="1"/>
    <col min="6150" max="6155" width="17.28515625" style="332" customWidth="1"/>
    <col min="6156" max="6162" width="0" style="332" hidden="1" customWidth="1"/>
    <col min="6163" max="6163" width="12.140625" style="332" customWidth="1"/>
    <col min="6164" max="6164" width="15.140625" style="332" customWidth="1"/>
    <col min="6165" max="6191" width="8" style="332" customWidth="1"/>
    <col min="6192" max="6400" width="8" style="332"/>
    <col min="6401" max="6401" width="0" style="332" hidden="1" customWidth="1"/>
    <col min="6402" max="6402" width="4.7109375" style="332" customWidth="1"/>
    <col min="6403" max="6403" width="72.5703125" style="332" customWidth="1"/>
    <col min="6404" max="6404" width="15.42578125" style="332" customWidth="1"/>
    <col min="6405" max="6405" width="16.28515625" style="332" customWidth="1"/>
    <col min="6406" max="6411" width="17.28515625" style="332" customWidth="1"/>
    <col min="6412" max="6418" width="0" style="332" hidden="1" customWidth="1"/>
    <col min="6419" max="6419" width="12.140625" style="332" customWidth="1"/>
    <col min="6420" max="6420" width="15.140625" style="332" customWidth="1"/>
    <col min="6421" max="6447" width="8" style="332" customWidth="1"/>
    <col min="6448" max="6656" width="8" style="332"/>
    <col min="6657" max="6657" width="0" style="332" hidden="1" customWidth="1"/>
    <col min="6658" max="6658" width="4.7109375" style="332" customWidth="1"/>
    <col min="6659" max="6659" width="72.5703125" style="332" customWidth="1"/>
    <col min="6660" max="6660" width="15.42578125" style="332" customWidth="1"/>
    <col min="6661" max="6661" width="16.28515625" style="332" customWidth="1"/>
    <col min="6662" max="6667" width="17.28515625" style="332" customWidth="1"/>
    <col min="6668" max="6674" width="0" style="332" hidden="1" customWidth="1"/>
    <col min="6675" max="6675" width="12.140625" style="332" customWidth="1"/>
    <col min="6676" max="6676" width="15.140625" style="332" customWidth="1"/>
    <col min="6677" max="6703" width="8" style="332" customWidth="1"/>
    <col min="6704" max="6912" width="8" style="332"/>
    <col min="6913" max="6913" width="0" style="332" hidden="1" customWidth="1"/>
    <col min="6914" max="6914" width="4.7109375" style="332" customWidth="1"/>
    <col min="6915" max="6915" width="72.5703125" style="332" customWidth="1"/>
    <col min="6916" max="6916" width="15.42578125" style="332" customWidth="1"/>
    <col min="6917" max="6917" width="16.28515625" style="332" customWidth="1"/>
    <col min="6918" max="6923" width="17.28515625" style="332" customWidth="1"/>
    <col min="6924" max="6930" width="0" style="332" hidden="1" customWidth="1"/>
    <col min="6931" max="6931" width="12.140625" style="332" customWidth="1"/>
    <col min="6932" max="6932" width="15.140625" style="332" customWidth="1"/>
    <col min="6933" max="6959" width="8" style="332" customWidth="1"/>
    <col min="6960" max="7168" width="8" style="332"/>
    <col min="7169" max="7169" width="0" style="332" hidden="1" customWidth="1"/>
    <col min="7170" max="7170" width="4.7109375" style="332" customWidth="1"/>
    <col min="7171" max="7171" width="72.5703125" style="332" customWidth="1"/>
    <col min="7172" max="7172" width="15.42578125" style="332" customWidth="1"/>
    <col min="7173" max="7173" width="16.28515625" style="332" customWidth="1"/>
    <col min="7174" max="7179" width="17.28515625" style="332" customWidth="1"/>
    <col min="7180" max="7186" width="0" style="332" hidden="1" customWidth="1"/>
    <col min="7187" max="7187" width="12.140625" style="332" customWidth="1"/>
    <col min="7188" max="7188" width="15.140625" style="332" customWidth="1"/>
    <col min="7189" max="7215" width="8" style="332" customWidth="1"/>
    <col min="7216" max="7424" width="8" style="332"/>
    <col min="7425" max="7425" width="0" style="332" hidden="1" customWidth="1"/>
    <col min="7426" max="7426" width="4.7109375" style="332" customWidth="1"/>
    <col min="7427" max="7427" width="72.5703125" style="332" customWidth="1"/>
    <col min="7428" max="7428" width="15.42578125" style="332" customWidth="1"/>
    <col min="7429" max="7429" width="16.28515625" style="332" customWidth="1"/>
    <col min="7430" max="7435" width="17.28515625" style="332" customWidth="1"/>
    <col min="7436" max="7442" width="0" style="332" hidden="1" customWidth="1"/>
    <col min="7443" max="7443" width="12.140625" style="332" customWidth="1"/>
    <col min="7444" max="7444" width="15.140625" style="332" customWidth="1"/>
    <col min="7445" max="7471" width="8" style="332" customWidth="1"/>
    <col min="7472" max="7680" width="8" style="332"/>
    <col min="7681" max="7681" width="0" style="332" hidden="1" customWidth="1"/>
    <col min="7682" max="7682" width="4.7109375" style="332" customWidth="1"/>
    <col min="7683" max="7683" width="72.5703125" style="332" customWidth="1"/>
    <col min="7684" max="7684" width="15.42578125" style="332" customWidth="1"/>
    <col min="7685" max="7685" width="16.28515625" style="332" customWidth="1"/>
    <col min="7686" max="7691" width="17.28515625" style="332" customWidth="1"/>
    <col min="7692" max="7698" width="0" style="332" hidden="1" customWidth="1"/>
    <col min="7699" max="7699" width="12.140625" style="332" customWidth="1"/>
    <col min="7700" max="7700" width="15.140625" style="332" customWidth="1"/>
    <col min="7701" max="7727" width="8" style="332" customWidth="1"/>
    <col min="7728" max="7936" width="8" style="332"/>
    <col min="7937" max="7937" width="0" style="332" hidden="1" customWidth="1"/>
    <col min="7938" max="7938" width="4.7109375" style="332" customWidth="1"/>
    <col min="7939" max="7939" width="72.5703125" style="332" customWidth="1"/>
    <col min="7940" max="7940" width="15.42578125" style="332" customWidth="1"/>
    <col min="7941" max="7941" width="16.28515625" style="332" customWidth="1"/>
    <col min="7942" max="7947" width="17.28515625" style="332" customWidth="1"/>
    <col min="7948" max="7954" width="0" style="332" hidden="1" customWidth="1"/>
    <col min="7955" max="7955" width="12.140625" style="332" customWidth="1"/>
    <col min="7956" max="7956" width="15.140625" style="332" customWidth="1"/>
    <col min="7957" max="7983" width="8" style="332" customWidth="1"/>
    <col min="7984" max="8192" width="8" style="332"/>
    <col min="8193" max="8193" width="0" style="332" hidden="1" customWidth="1"/>
    <col min="8194" max="8194" width="4.7109375" style="332" customWidth="1"/>
    <col min="8195" max="8195" width="72.5703125" style="332" customWidth="1"/>
    <col min="8196" max="8196" width="15.42578125" style="332" customWidth="1"/>
    <col min="8197" max="8197" width="16.28515625" style="332" customWidth="1"/>
    <col min="8198" max="8203" width="17.28515625" style="332" customWidth="1"/>
    <col min="8204" max="8210" width="0" style="332" hidden="1" customWidth="1"/>
    <col min="8211" max="8211" width="12.140625" style="332" customWidth="1"/>
    <col min="8212" max="8212" width="15.140625" style="332" customWidth="1"/>
    <col min="8213" max="8239" width="8" style="332" customWidth="1"/>
    <col min="8240" max="8448" width="8" style="332"/>
    <col min="8449" max="8449" width="0" style="332" hidden="1" customWidth="1"/>
    <col min="8450" max="8450" width="4.7109375" style="332" customWidth="1"/>
    <col min="8451" max="8451" width="72.5703125" style="332" customWidth="1"/>
    <col min="8452" max="8452" width="15.42578125" style="332" customWidth="1"/>
    <col min="8453" max="8453" width="16.28515625" style="332" customWidth="1"/>
    <col min="8454" max="8459" width="17.28515625" style="332" customWidth="1"/>
    <col min="8460" max="8466" width="0" style="332" hidden="1" customWidth="1"/>
    <col min="8467" max="8467" width="12.140625" style="332" customWidth="1"/>
    <col min="8468" max="8468" width="15.140625" style="332" customWidth="1"/>
    <col min="8469" max="8495" width="8" style="332" customWidth="1"/>
    <col min="8496" max="8704" width="8" style="332"/>
    <col min="8705" max="8705" width="0" style="332" hidden="1" customWidth="1"/>
    <col min="8706" max="8706" width="4.7109375" style="332" customWidth="1"/>
    <col min="8707" max="8707" width="72.5703125" style="332" customWidth="1"/>
    <col min="8708" max="8708" width="15.42578125" style="332" customWidth="1"/>
    <col min="8709" max="8709" width="16.28515625" style="332" customWidth="1"/>
    <col min="8710" max="8715" width="17.28515625" style="332" customWidth="1"/>
    <col min="8716" max="8722" width="0" style="332" hidden="1" customWidth="1"/>
    <col min="8723" max="8723" width="12.140625" style="332" customWidth="1"/>
    <col min="8724" max="8724" width="15.140625" style="332" customWidth="1"/>
    <col min="8725" max="8751" width="8" style="332" customWidth="1"/>
    <col min="8752" max="8960" width="8" style="332"/>
    <col min="8961" max="8961" width="0" style="332" hidden="1" customWidth="1"/>
    <col min="8962" max="8962" width="4.7109375" style="332" customWidth="1"/>
    <col min="8963" max="8963" width="72.5703125" style="332" customWidth="1"/>
    <col min="8964" max="8964" width="15.42578125" style="332" customWidth="1"/>
    <col min="8965" max="8965" width="16.28515625" style="332" customWidth="1"/>
    <col min="8966" max="8971" width="17.28515625" style="332" customWidth="1"/>
    <col min="8972" max="8978" width="0" style="332" hidden="1" customWidth="1"/>
    <col min="8979" max="8979" width="12.140625" style="332" customWidth="1"/>
    <col min="8980" max="8980" width="15.140625" style="332" customWidth="1"/>
    <col min="8981" max="9007" width="8" style="332" customWidth="1"/>
    <col min="9008" max="9216" width="8" style="332"/>
    <col min="9217" max="9217" width="0" style="332" hidden="1" customWidth="1"/>
    <col min="9218" max="9218" width="4.7109375" style="332" customWidth="1"/>
    <col min="9219" max="9219" width="72.5703125" style="332" customWidth="1"/>
    <col min="9220" max="9220" width="15.42578125" style="332" customWidth="1"/>
    <col min="9221" max="9221" width="16.28515625" style="332" customWidth="1"/>
    <col min="9222" max="9227" width="17.28515625" style="332" customWidth="1"/>
    <col min="9228" max="9234" width="0" style="332" hidden="1" customWidth="1"/>
    <col min="9235" max="9235" width="12.140625" style="332" customWidth="1"/>
    <col min="9236" max="9236" width="15.140625" style="332" customWidth="1"/>
    <col min="9237" max="9263" width="8" style="332" customWidth="1"/>
    <col min="9264" max="9472" width="8" style="332"/>
    <col min="9473" max="9473" width="0" style="332" hidden="1" customWidth="1"/>
    <col min="9474" max="9474" width="4.7109375" style="332" customWidth="1"/>
    <col min="9475" max="9475" width="72.5703125" style="332" customWidth="1"/>
    <col min="9476" max="9476" width="15.42578125" style="332" customWidth="1"/>
    <col min="9477" max="9477" width="16.28515625" style="332" customWidth="1"/>
    <col min="9478" max="9483" width="17.28515625" style="332" customWidth="1"/>
    <col min="9484" max="9490" width="0" style="332" hidden="1" customWidth="1"/>
    <col min="9491" max="9491" width="12.140625" style="332" customWidth="1"/>
    <col min="9492" max="9492" width="15.140625" style="332" customWidth="1"/>
    <col min="9493" max="9519" width="8" style="332" customWidth="1"/>
    <col min="9520" max="9728" width="8" style="332"/>
    <col min="9729" max="9729" width="0" style="332" hidden="1" customWidth="1"/>
    <col min="9730" max="9730" width="4.7109375" style="332" customWidth="1"/>
    <col min="9731" max="9731" width="72.5703125" style="332" customWidth="1"/>
    <col min="9732" max="9732" width="15.42578125" style="332" customWidth="1"/>
    <col min="9733" max="9733" width="16.28515625" style="332" customWidth="1"/>
    <col min="9734" max="9739" width="17.28515625" style="332" customWidth="1"/>
    <col min="9740" max="9746" width="0" style="332" hidden="1" customWidth="1"/>
    <col min="9747" max="9747" width="12.140625" style="332" customWidth="1"/>
    <col min="9748" max="9748" width="15.140625" style="332" customWidth="1"/>
    <col min="9749" max="9775" width="8" style="332" customWidth="1"/>
    <col min="9776" max="9984" width="8" style="332"/>
    <col min="9985" max="9985" width="0" style="332" hidden="1" customWidth="1"/>
    <col min="9986" max="9986" width="4.7109375" style="332" customWidth="1"/>
    <col min="9987" max="9987" width="72.5703125" style="332" customWidth="1"/>
    <col min="9988" max="9988" width="15.42578125" style="332" customWidth="1"/>
    <col min="9989" max="9989" width="16.28515625" style="332" customWidth="1"/>
    <col min="9990" max="9995" width="17.28515625" style="332" customWidth="1"/>
    <col min="9996" max="10002" width="0" style="332" hidden="1" customWidth="1"/>
    <col min="10003" max="10003" width="12.140625" style="332" customWidth="1"/>
    <col min="10004" max="10004" width="15.140625" style="332" customWidth="1"/>
    <col min="10005" max="10031" width="8" style="332" customWidth="1"/>
    <col min="10032" max="10240" width="8" style="332"/>
    <col min="10241" max="10241" width="0" style="332" hidden="1" customWidth="1"/>
    <col min="10242" max="10242" width="4.7109375" style="332" customWidth="1"/>
    <col min="10243" max="10243" width="72.5703125" style="332" customWidth="1"/>
    <col min="10244" max="10244" width="15.42578125" style="332" customWidth="1"/>
    <col min="10245" max="10245" width="16.28515625" style="332" customWidth="1"/>
    <col min="10246" max="10251" width="17.28515625" style="332" customWidth="1"/>
    <col min="10252" max="10258" width="0" style="332" hidden="1" customWidth="1"/>
    <col min="10259" max="10259" width="12.140625" style="332" customWidth="1"/>
    <col min="10260" max="10260" width="15.140625" style="332" customWidth="1"/>
    <col min="10261" max="10287" width="8" style="332" customWidth="1"/>
    <col min="10288" max="10496" width="8" style="332"/>
    <col min="10497" max="10497" width="0" style="332" hidden="1" customWidth="1"/>
    <col min="10498" max="10498" width="4.7109375" style="332" customWidth="1"/>
    <col min="10499" max="10499" width="72.5703125" style="332" customWidth="1"/>
    <col min="10500" max="10500" width="15.42578125" style="332" customWidth="1"/>
    <col min="10501" max="10501" width="16.28515625" style="332" customWidth="1"/>
    <col min="10502" max="10507" width="17.28515625" style="332" customWidth="1"/>
    <col min="10508" max="10514" width="0" style="332" hidden="1" customWidth="1"/>
    <col min="10515" max="10515" width="12.140625" style="332" customWidth="1"/>
    <col min="10516" max="10516" width="15.140625" style="332" customWidth="1"/>
    <col min="10517" max="10543" width="8" style="332" customWidth="1"/>
    <col min="10544" max="10752" width="8" style="332"/>
    <col min="10753" max="10753" width="0" style="332" hidden="1" customWidth="1"/>
    <col min="10754" max="10754" width="4.7109375" style="332" customWidth="1"/>
    <col min="10755" max="10755" width="72.5703125" style="332" customWidth="1"/>
    <col min="10756" max="10756" width="15.42578125" style="332" customWidth="1"/>
    <col min="10757" max="10757" width="16.28515625" style="332" customWidth="1"/>
    <col min="10758" max="10763" width="17.28515625" style="332" customWidth="1"/>
    <col min="10764" max="10770" width="0" style="332" hidden="1" customWidth="1"/>
    <col min="10771" max="10771" width="12.140625" style="332" customWidth="1"/>
    <col min="10772" max="10772" width="15.140625" style="332" customWidth="1"/>
    <col min="10773" max="10799" width="8" style="332" customWidth="1"/>
    <col min="10800" max="11008" width="8" style="332"/>
    <col min="11009" max="11009" width="0" style="332" hidden="1" customWidth="1"/>
    <col min="11010" max="11010" width="4.7109375" style="332" customWidth="1"/>
    <col min="11011" max="11011" width="72.5703125" style="332" customWidth="1"/>
    <col min="11012" max="11012" width="15.42578125" style="332" customWidth="1"/>
    <col min="11013" max="11013" width="16.28515625" style="332" customWidth="1"/>
    <col min="11014" max="11019" width="17.28515625" style="332" customWidth="1"/>
    <col min="11020" max="11026" width="0" style="332" hidden="1" customWidth="1"/>
    <col min="11027" max="11027" width="12.140625" style="332" customWidth="1"/>
    <col min="11028" max="11028" width="15.140625" style="332" customWidth="1"/>
    <col min="11029" max="11055" width="8" style="332" customWidth="1"/>
    <col min="11056" max="11264" width="8" style="332"/>
    <col min="11265" max="11265" width="0" style="332" hidden="1" customWidth="1"/>
    <col min="11266" max="11266" width="4.7109375" style="332" customWidth="1"/>
    <col min="11267" max="11267" width="72.5703125" style="332" customWidth="1"/>
    <col min="11268" max="11268" width="15.42578125" style="332" customWidth="1"/>
    <col min="11269" max="11269" width="16.28515625" style="332" customWidth="1"/>
    <col min="11270" max="11275" width="17.28515625" style="332" customWidth="1"/>
    <col min="11276" max="11282" width="0" style="332" hidden="1" customWidth="1"/>
    <col min="11283" max="11283" width="12.140625" style="332" customWidth="1"/>
    <col min="11284" max="11284" width="15.140625" style="332" customWidth="1"/>
    <col min="11285" max="11311" width="8" style="332" customWidth="1"/>
    <col min="11312" max="11520" width="8" style="332"/>
    <col min="11521" max="11521" width="0" style="332" hidden="1" customWidth="1"/>
    <col min="11522" max="11522" width="4.7109375" style="332" customWidth="1"/>
    <col min="11523" max="11523" width="72.5703125" style="332" customWidth="1"/>
    <col min="11524" max="11524" width="15.42578125" style="332" customWidth="1"/>
    <col min="11525" max="11525" width="16.28515625" style="332" customWidth="1"/>
    <col min="11526" max="11531" width="17.28515625" style="332" customWidth="1"/>
    <col min="11532" max="11538" width="0" style="332" hidden="1" customWidth="1"/>
    <col min="11539" max="11539" width="12.140625" style="332" customWidth="1"/>
    <col min="11540" max="11540" width="15.140625" style="332" customWidth="1"/>
    <col min="11541" max="11567" width="8" style="332" customWidth="1"/>
    <col min="11568" max="11776" width="8" style="332"/>
    <col min="11777" max="11777" width="0" style="332" hidden="1" customWidth="1"/>
    <col min="11778" max="11778" width="4.7109375" style="332" customWidth="1"/>
    <col min="11779" max="11779" width="72.5703125" style="332" customWidth="1"/>
    <col min="11780" max="11780" width="15.42578125" style="332" customWidth="1"/>
    <col min="11781" max="11781" width="16.28515625" style="332" customWidth="1"/>
    <col min="11782" max="11787" width="17.28515625" style="332" customWidth="1"/>
    <col min="11788" max="11794" width="0" style="332" hidden="1" customWidth="1"/>
    <col min="11795" max="11795" width="12.140625" style="332" customWidth="1"/>
    <col min="11796" max="11796" width="15.140625" style="332" customWidth="1"/>
    <col min="11797" max="11823" width="8" style="332" customWidth="1"/>
    <col min="11824" max="12032" width="8" style="332"/>
    <col min="12033" max="12033" width="0" style="332" hidden="1" customWidth="1"/>
    <col min="12034" max="12034" width="4.7109375" style="332" customWidth="1"/>
    <col min="12035" max="12035" width="72.5703125" style="332" customWidth="1"/>
    <col min="12036" max="12036" width="15.42578125" style="332" customWidth="1"/>
    <col min="12037" max="12037" width="16.28515625" style="332" customWidth="1"/>
    <col min="12038" max="12043" width="17.28515625" style="332" customWidth="1"/>
    <col min="12044" max="12050" width="0" style="332" hidden="1" customWidth="1"/>
    <col min="12051" max="12051" width="12.140625" style="332" customWidth="1"/>
    <col min="12052" max="12052" width="15.140625" style="332" customWidth="1"/>
    <col min="12053" max="12079" width="8" style="332" customWidth="1"/>
    <col min="12080" max="12288" width="8" style="332"/>
    <col min="12289" max="12289" width="0" style="332" hidden="1" customWidth="1"/>
    <col min="12290" max="12290" width="4.7109375" style="332" customWidth="1"/>
    <col min="12291" max="12291" width="72.5703125" style="332" customWidth="1"/>
    <col min="12292" max="12292" width="15.42578125" style="332" customWidth="1"/>
    <col min="12293" max="12293" width="16.28515625" style="332" customWidth="1"/>
    <col min="12294" max="12299" width="17.28515625" style="332" customWidth="1"/>
    <col min="12300" max="12306" width="0" style="332" hidden="1" customWidth="1"/>
    <col min="12307" max="12307" width="12.140625" style="332" customWidth="1"/>
    <col min="12308" max="12308" width="15.140625" style="332" customWidth="1"/>
    <col min="12309" max="12335" width="8" style="332" customWidth="1"/>
    <col min="12336" max="12544" width="8" style="332"/>
    <col min="12545" max="12545" width="0" style="332" hidden="1" customWidth="1"/>
    <col min="12546" max="12546" width="4.7109375" style="332" customWidth="1"/>
    <col min="12547" max="12547" width="72.5703125" style="332" customWidth="1"/>
    <col min="12548" max="12548" width="15.42578125" style="332" customWidth="1"/>
    <col min="12549" max="12549" width="16.28515625" style="332" customWidth="1"/>
    <col min="12550" max="12555" width="17.28515625" style="332" customWidth="1"/>
    <col min="12556" max="12562" width="0" style="332" hidden="1" customWidth="1"/>
    <col min="12563" max="12563" width="12.140625" style="332" customWidth="1"/>
    <col min="12564" max="12564" width="15.140625" style="332" customWidth="1"/>
    <col min="12565" max="12591" width="8" style="332" customWidth="1"/>
    <col min="12592" max="12800" width="8" style="332"/>
    <col min="12801" max="12801" width="0" style="332" hidden="1" customWidth="1"/>
    <col min="12802" max="12802" width="4.7109375" style="332" customWidth="1"/>
    <col min="12803" max="12803" width="72.5703125" style="332" customWidth="1"/>
    <col min="12804" max="12804" width="15.42578125" style="332" customWidth="1"/>
    <col min="12805" max="12805" width="16.28515625" style="332" customWidth="1"/>
    <col min="12806" max="12811" width="17.28515625" style="332" customWidth="1"/>
    <col min="12812" max="12818" width="0" style="332" hidden="1" customWidth="1"/>
    <col min="12819" max="12819" width="12.140625" style="332" customWidth="1"/>
    <col min="12820" max="12820" width="15.140625" style="332" customWidth="1"/>
    <col min="12821" max="12847" width="8" style="332" customWidth="1"/>
    <col min="12848" max="13056" width="8" style="332"/>
    <col min="13057" max="13057" width="0" style="332" hidden="1" customWidth="1"/>
    <col min="13058" max="13058" width="4.7109375" style="332" customWidth="1"/>
    <col min="13059" max="13059" width="72.5703125" style="332" customWidth="1"/>
    <col min="13060" max="13060" width="15.42578125" style="332" customWidth="1"/>
    <col min="13061" max="13061" width="16.28515625" style="332" customWidth="1"/>
    <col min="13062" max="13067" width="17.28515625" style="332" customWidth="1"/>
    <col min="13068" max="13074" width="0" style="332" hidden="1" customWidth="1"/>
    <col min="13075" max="13075" width="12.140625" style="332" customWidth="1"/>
    <col min="13076" max="13076" width="15.140625" style="332" customWidth="1"/>
    <col min="13077" max="13103" width="8" style="332" customWidth="1"/>
    <col min="13104" max="13312" width="8" style="332"/>
    <col min="13313" max="13313" width="0" style="332" hidden="1" customWidth="1"/>
    <col min="13314" max="13314" width="4.7109375" style="332" customWidth="1"/>
    <col min="13315" max="13315" width="72.5703125" style="332" customWidth="1"/>
    <col min="13316" max="13316" width="15.42578125" style="332" customWidth="1"/>
    <col min="13317" max="13317" width="16.28515625" style="332" customWidth="1"/>
    <col min="13318" max="13323" width="17.28515625" style="332" customWidth="1"/>
    <col min="13324" max="13330" width="0" style="332" hidden="1" customWidth="1"/>
    <col min="13331" max="13331" width="12.140625" style="332" customWidth="1"/>
    <col min="13332" max="13332" width="15.140625" style="332" customWidth="1"/>
    <col min="13333" max="13359" width="8" style="332" customWidth="1"/>
    <col min="13360" max="13568" width="8" style="332"/>
    <col min="13569" max="13569" width="0" style="332" hidden="1" customWidth="1"/>
    <col min="13570" max="13570" width="4.7109375" style="332" customWidth="1"/>
    <col min="13571" max="13571" width="72.5703125" style="332" customWidth="1"/>
    <col min="13572" max="13572" width="15.42578125" style="332" customWidth="1"/>
    <col min="13573" max="13573" width="16.28515625" style="332" customWidth="1"/>
    <col min="13574" max="13579" width="17.28515625" style="332" customWidth="1"/>
    <col min="13580" max="13586" width="0" style="332" hidden="1" customWidth="1"/>
    <col min="13587" max="13587" width="12.140625" style="332" customWidth="1"/>
    <col min="13588" max="13588" width="15.140625" style="332" customWidth="1"/>
    <col min="13589" max="13615" width="8" style="332" customWidth="1"/>
    <col min="13616" max="13824" width="8" style="332"/>
    <col min="13825" max="13825" width="0" style="332" hidden="1" customWidth="1"/>
    <col min="13826" max="13826" width="4.7109375" style="332" customWidth="1"/>
    <col min="13827" max="13827" width="72.5703125" style="332" customWidth="1"/>
    <col min="13828" max="13828" width="15.42578125" style="332" customWidth="1"/>
    <col min="13829" max="13829" width="16.28515625" style="332" customWidth="1"/>
    <col min="13830" max="13835" width="17.28515625" style="332" customWidth="1"/>
    <col min="13836" max="13842" width="0" style="332" hidden="1" customWidth="1"/>
    <col min="13843" max="13843" width="12.140625" style="332" customWidth="1"/>
    <col min="13844" max="13844" width="15.140625" style="332" customWidth="1"/>
    <col min="13845" max="13871" width="8" style="332" customWidth="1"/>
    <col min="13872" max="14080" width="8" style="332"/>
    <col min="14081" max="14081" width="0" style="332" hidden="1" customWidth="1"/>
    <col min="14082" max="14082" width="4.7109375" style="332" customWidth="1"/>
    <col min="14083" max="14083" width="72.5703125" style="332" customWidth="1"/>
    <col min="14084" max="14084" width="15.42578125" style="332" customWidth="1"/>
    <col min="14085" max="14085" width="16.28515625" style="332" customWidth="1"/>
    <col min="14086" max="14091" width="17.28515625" style="332" customWidth="1"/>
    <col min="14092" max="14098" width="0" style="332" hidden="1" customWidth="1"/>
    <col min="14099" max="14099" width="12.140625" style="332" customWidth="1"/>
    <col min="14100" max="14100" width="15.140625" style="332" customWidth="1"/>
    <col min="14101" max="14127" width="8" style="332" customWidth="1"/>
    <col min="14128" max="14336" width="8" style="332"/>
    <col min="14337" max="14337" width="0" style="332" hidden="1" customWidth="1"/>
    <col min="14338" max="14338" width="4.7109375" style="332" customWidth="1"/>
    <col min="14339" max="14339" width="72.5703125" style="332" customWidth="1"/>
    <col min="14340" max="14340" width="15.42578125" style="332" customWidth="1"/>
    <col min="14341" max="14341" width="16.28515625" style="332" customWidth="1"/>
    <col min="14342" max="14347" width="17.28515625" style="332" customWidth="1"/>
    <col min="14348" max="14354" width="0" style="332" hidden="1" customWidth="1"/>
    <col min="14355" max="14355" width="12.140625" style="332" customWidth="1"/>
    <col min="14356" max="14356" width="15.140625" style="332" customWidth="1"/>
    <col min="14357" max="14383" width="8" style="332" customWidth="1"/>
    <col min="14384" max="14592" width="8" style="332"/>
    <col min="14593" max="14593" width="0" style="332" hidden="1" customWidth="1"/>
    <col min="14594" max="14594" width="4.7109375" style="332" customWidth="1"/>
    <col min="14595" max="14595" width="72.5703125" style="332" customWidth="1"/>
    <col min="14596" max="14596" width="15.42578125" style="332" customWidth="1"/>
    <col min="14597" max="14597" width="16.28515625" style="332" customWidth="1"/>
    <col min="14598" max="14603" width="17.28515625" style="332" customWidth="1"/>
    <col min="14604" max="14610" width="0" style="332" hidden="1" customWidth="1"/>
    <col min="14611" max="14611" width="12.140625" style="332" customWidth="1"/>
    <col min="14612" max="14612" width="15.140625" style="332" customWidth="1"/>
    <col min="14613" max="14639" width="8" style="332" customWidth="1"/>
    <col min="14640" max="14848" width="8" style="332"/>
    <col min="14849" max="14849" width="0" style="332" hidden="1" customWidth="1"/>
    <col min="14850" max="14850" width="4.7109375" style="332" customWidth="1"/>
    <col min="14851" max="14851" width="72.5703125" style="332" customWidth="1"/>
    <col min="14852" max="14852" width="15.42578125" style="332" customWidth="1"/>
    <col min="14853" max="14853" width="16.28515625" style="332" customWidth="1"/>
    <col min="14854" max="14859" width="17.28515625" style="332" customWidth="1"/>
    <col min="14860" max="14866" width="0" style="332" hidden="1" customWidth="1"/>
    <col min="14867" max="14867" width="12.140625" style="332" customWidth="1"/>
    <col min="14868" max="14868" width="15.140625" style="332" customWidth="1"/>
    <col min="14869" max="14895" width="8" style="332" customWidth="1"/>
    <col min="14896" max="15104" width="8" style="332"/>
    <col min="15105" max="15105" width="0" style="332" hidden="1" customWidth="1"/>
    <col min="15106" max="15106" width="4.7109375" style="332" customWidth="1"/>
    <col min="15107" max="15107" width="72.5703125" style="332" customWidth="1"/>
    <col min="15108" max="15108" width="15.42578125" style="332" customWidth="1"/>
    <col min="15109" max="15109" width="16.28515625" style="332" customWidth="1"/>
    <col min="15110" max="15115" width="17.28515625" style="332" customWidth="1"/>
    <col min="15116" max="15122" width="0" style="332" hidden="1" customWidth="1"/>
    <col min="15123" max="15123" width="12.140625" style="332" customWidth="1"/>
    <col min="15124" max="15124" width="15.140625" style="332" customWidth="1"/>
    <col min="15125" max="15151" width="8" style="332" customWidth="1"/>
    <col min="15152" max="15360" width="8" style="332"/>
    <col min="15361" max="15361" width="0" style="332" hidden="1" customWidth="1"/>
    <col min="15362" max="15362" width="4.7109375" style="332" customWidth="1"/>
    <col min="15363" max="15363" width="72.5703125" style="332" customWidth="1"/>
    <col min="15364" max="15364" width="15.42578125" style="332" customWidth="1"/>
    <col min="15365" max="15365" width="16.28515625" style="332" customWidth="1"/>
    <col min="15366" max="15371" width="17.28515625" style="332" customWidth="1"/>
    <col min="15372" max="15378" width="0" style="332" hidden="1" customWidth="1"/>
    <col min="15379" max="15379" width="12.140625" style="332" customWidth="1"/>
    <col min="15380" max="15380" width="15.140625" style="332" customWidth="1"/>
    <col min="15381" max="15407" width="8" style="332" customWidth="1"/>
    <col min="15408" max="15616" width="8" style="332"/>
    <col min="15617" max="15617" width="0" style="332" hidden="1" customWidth="1"/>
    <col min="15618" max="15618" width="4.7109375" style="332" customWidth="1"/>
    <col min="15619" max="15619" width="72.5703125" style="332" customWidth="1"/>
    <col min="15620" max="15620" width="15.42578125" style="332" customWidth="1"/>
    <col min="15621" max="15621" width="16.28515625" style="332" customWidth="1"/>
    <col min="15622" max="15627" width="17.28515625" style="332" customWidth="1"/>
    <col min="15628" max="15634" width="0" style="332" hidden="1" customWidth="1"/>
    <col min="15635" max="15635" width="12.140625" style="332" customWidth="1"/>
    <col min="15636" max="15636" width="15.140625" style="332" customWidth="1"/>
    <col min="15637" max="15663" width="8" style="332" customWidth="1"/>
    <col min="15664" max="15872" width="8" style="332"/>
    <col min="15873" max="15873" width="0" style="332" hidden="1" customWidth="1"/>
    <col min="15874" max="15874" width="4.7109375" style="332" customWidth="1"/>
    <col min="15875" max="15875" width="72.5703125" style="332" customWidth="1"/>
    <col min="15876" max="15876" width="15.42578125" style="332" customWidth="1"/>
    <col min="15877" max="15877" width="16.28515625" style="332" customWidth="1"/>
    <col min="15878" max="15883" width="17.28515625" style="332" customWidth="1"/>
    <col min="15884" max="15890" width="0" style="332" hidden="1" customWidth="1"/>
    <col min="15891" max="15891" width="12.140625" style="332" customWidth="1"/>
    <col min="15892" max="15892" width="15.140625" style="332" customWidth="1"/>
    <col min="15893" max="15919" width="8" style="332" customWidth="1"/>
    <col min="15920" max="16128" width="8" style="332"/>
    <col min="16129" max="16129" width="0" style="332" hidden="1" customWidth="1"/>
    <col min="16130" max="16130" width="4.7109375" style="332" customWidth="1"/>
    <col min="16131" max="16131" width="72.5703125" style="332" customWidth="1"/>
    <col min="16132" max="16132" width="15.42578125" style="332" customWidth="1"/>
    <col min="16133" max="16133" width="16.28515625" style="332" customWidth="1"/>
    <col min="16134" max="16139" width="17.28515625" style="332" customWidth="1"/>
    <col min="16140" max="16146" width="0" style="332" hidden="1" customWidth="1"/>
    <col min="16147" max="16147" width="12.140625" style="332" customWidth="1"/>
    <col min="16148" max="16148" width="15.140625" style="332" customWidth="1"/>
    <col min="16149" max="16175" width="8" style="332" customWidth="1"/>
    <col min="16176" max="16384" width="8" style="332"/>
  </cols>
  <sheetData>
    <row r="1" spans="1:255" x14ac:dyDescent="0.2">
      <c r="K1" s="331"/>
    </row>
    <row r="2" spans="1:255" x14ac:dyDescent="0.2">
      <c r="K2" s="331" t="s">
        <v>957</v>
      </c>
    </row>
    <row r="3" spans="1:255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1234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8"/>
      <c r="N6" s="68"/>
      <c r="O6" s="68"/>
    </row>
    <row r="7" spans="1:255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328"/>
      <c r="M7" s="333" t="s">
        <v>556</v>
      </c>
      <c r="N7" s="334" t="s">
        <v>557</v>
      </c>
      <c r="O7" s="334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6">
        <v>1</v>
      </c>
      <c r="N8" s="336">
        <v>16</v>
      </c>
      <c r="O8" s="336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9" customFormat="1" ht="32.25" customHeight="1" x14ac:dyDescent="0.3">
      <c r="A9" s="230"/>
      <c r="B9" s="227" t="s">
        <v>1045</v>
      </c>
      <c r="C9" s="228" t="s">
        <v>562</v>
      </c>
      <c r="D9" s="290">
        <f>D12+D13+D14+D15+D18+D16+D17</f>
        <v>4827.7</v>
      </c>
      <c r="E9" s="290">
        <f>E12+E13+E14+E15+E18+E16+E17</f>
        <v>982</v>
      </c>
      <c r="F9" s="290">
        <f t="shared" ref="F9:K9" si="0">F12+F13+F14+F15+F18+F16+F17</f>
        <v>624</v>
      </c>
      <c r="G9" s="290">
        <f t="shared" si="0"/>
        <v>488</v>
      </c>
      <c r="H9" s="290">
        <f t="shared" si="0"/>
        <v>1116.7</v>
      </c>
      <c r="I9" s="290">
        <f t="shared" si="0"/>
        <v>570</v>
      </c>
      <c r="J9" s="290">
        <f t="shared" si="0"/>
        <v>531</v>
      </c>
      <c r="K9" s="290">
        <f t="shared" si="0"/>
        <v>516</v>
      </c>
      <c r="L9" s="338">
        <f t="shared" ref="L9:R9" si="1">L12+L13+L14+L15+L18+L16</f>
        <v>0</v>
      </c>
      <c r="M9" s="338">
        <f t="shared" si="1"/>
        <v>0</v>
      </c>
      <c r="N9" s="338">
        <f t="shared" si="1"/>
        <v>0</v>
      </c>
      <c r="O9" s="338">
        <f t="shared" si="1"/>
        <v>0</v>
      </c>
      <c r="P9" s="338">
        <f t="shared" si="1"/>
        <v>0</v>
      </c>
      <c r="Q9" s="338">
        <f t="shared" si="1"/>
        <v>0</v>
      </c>
      <c r="R9" s="338">
        <f t="shared" si="1"/>
        <v>0</v>
      </c>
      <c r="S9" s="229"/>
      <c r="T9" s="229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ht="15" hidden="1" customHeight="1" x14ac:dyDescent="0.25">
      <c r="A10" s="73"/>
      <c r="B10" s="74"/>
      <c r="C10" s="197"/>
      <c r="D10" s="290">
        <f t="shared" ref="D10:D18" si="2">E10+F10+G10+H10+I10+J10+K10</f>
        <v>0</v>
      </c>
      <c r="E10" s="291"/>
      <c r="F10" s="291"/>
      <c r="G10" s="291"/>
      <c r="H10" s="291"/>
      <c r="I10" s="291"/>
      <c r="J10" s="291"/>
      <c r="K10" s="291"/>
      <c r="L10" s="341"/>
      <c r="M10" s="342"/>
      <c r="N10" s="342"/>
      <c r="O10" s="342"/>
      <c r="P10" s="343"/>
      <c r="Q10" s="343"/>
      <c r="R10" s="344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7"/>
      <c r="D11" s="290">
        <f t="shared" si="2"/>
        <v>0</v>
      </c>
      <c r="E11" s="291"/>
      <c r="F11" s="291"/>
      <c r="G11" s="291"/>
      <c r="H11" s="291"/>
      <c r="I11" s="291"/>
      <c r="J11" s="291"/>
      <c r="K11" s="291"/>
      <c r="L11" s="341"/>
      <c r="M11" s="342"/>
      <c r="N11" s="342"/>
      <c r="O11" s="342"/>
      <c r="P11" s="343"/>
      <c r="Q11" s="343"/>
      <c r="R11" s="344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3" t="s">
        <v>394</v>
      </c>
      <c r="D12" s="292">
        <f t="shared" si="2"/>
        <v>0</v>
      </c>
      <c r="E12" s="291"/>
      <c r="F12" s="291"/>
      <c r="G12" s="291"/>
      <c r="H12" s="291"/>
      <c r="I12" s="291"/>
      <c r="J12" s="291"/>
      <c r="K12" s="291"/>
      <c r="L12" s="341"/>
      <c r="M12" s="345"/>
      <c r="N12" s="346"/>
      <c r="O12" s="346"/>
      <c r="P12" s="343"/>
      <c r="Q12" s="343"/>
      <c r="R12" s="344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8" customFormat="1" ht="62.25" hidden="1" customHeight="1" x14ac:dyDescent="0.25">
      <c r="A13" s="73"/>
      <c r="B13" s="74"/>
      <c r="C13" s="330" t="s">
        <v>764</v>
      </c>
      <c r="D13" s="292">
        <f t="shared" si="2"/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341"/>
      <c r="M13" s="347"/>
      <c r="N13" s="347"/>
      <c r="O13" s="347"/>
      <c r="P13" s="347"/>
      <c r="Q13" s="347"/>
      <c r="R13" s="347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8" customFormat="1" ht="45.75" hidden="1" customHeight="1" x14ac:dyDescent="0.25">
      <c r="A14" s="73"/>
      <c r="B14" s="74"/>
      <c r="C14" s="197" t="s">
        <v>151</v>
      </c>
      <c r="D14" s="292">
        <f t="shared" si="2"/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341"/>
      <c r="M14" s="345"/>
      <c r="N14" s="346"/>
      <c r="O14" s="349"/>
      <c r="P14" s="343"/>
      <c r="Q14" s="343"/>
      <c r="R14" s="344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8" customFormat="1" ht="76.5" hidden="1" customHeight="1" x14ac:dyDescent="0.25">
      <c r="A15" s="73"/>
      <c r="B15" s="74"/>
      <c r="C15" s="31" t="s">
        <v>395</v>
      </c>
      <c r="D15" s="292">
        <f t="shared" si="2"/>
        <v>0</v>
      </c>
      <c r="E15" s="291"/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341"/>
      <c r="M15" s="345"/>
      <c r="N15" s="346"/>
      <c r="O15" s="349"/>
      <c r="P15" s="343"/>
      <c r="Q15" s="343"/>
      <c r="R15" s="344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8" customFormat="1" ht="57" hidden="1" customHeight="1" x14ac:dyDescent="0.25">
      <c r="A16" s="73"/>
      <c r="B16" s="74"/>
      <c r="C16" s="31" t="s">
        <v>767</v>
      </c>
      <c r="D16" s="292">
        <f t="shared" si="2"/>
        <v>0</v>
      </c>
      <c r="E16" s="291">
        <v>0</v>
      </c>
      <c r="F16" s="291"/>
      <c r="G16" s="291"/>
      <c r="H16" s="291"/>
      <c r="I16" s="291"/>
      <c r="J16" s="291"/>
      <c r="K16" s="291"/>
      <c r="L16" s="341"/>
      <c r="M16" s="345"/>
      <c r="N16" s="346"/>
      <c r="O16" s="349"/>
      <c r="P16" s="343"/>
      <c r="Q16" s="343"/>
      <c r="R16" s="344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8" customFormat="1" ht="49.5" hidden="1" customHeight="1" x14ac:dyDescent="0.25">
      <c r="A17" s="73"/>
      <c r="B17" s="74"/>
      <c r="C17" s="197" t="s">
        <v>1195</v>
      </c>
      <c r="D17" s="292">
        <f t="shared" si="2"/>
        <v>0</v>
      </c>
      <c r="E17" s="291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341"/>
      <c r="M17" s="345"/>
      <c r="N17" s="346"/>
      <c r="O17" s="349"/>
      <c r="P17" s="343"/>
      <c r="Q17" s="343"/>
      <c r="R17" s="344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7.75" customHeight="1" x14ac:dyDescent="0.25">
      <c r="A18" s="73"/>
      <c r="B18" s="74" t="s">
        <v>561</v>
      </c>
      <c r="C18" s="50" t="s">
        <v>763</v>
      </c>
      <c r="D18" s="292">
        <f t="shared" si="2"/>
        <v>4827.7</v>
      </c>
      <c r="E18" s="291">
        <v>982</v>
      </c>
      <c r="F18" s="291">
        <v>624</v>
      </c>
      <c r="G18" s="291">
        <v>488</v>
      </c>
      <c r="H18" s="291">
        <v>1116.7</v>
      </c>
      <c r="I18" s="291">
        <v>570</v>
      </c>
      <c r="J18" s="291">
        <v>531</v>
      </c>
      <c r="K18" s="291">
        <v>516</v>
      </c>
      <c r="L18" s="341"/>
      <c r="M18" s="345"/>
      <c r="N18" s="346"/>
      <c r="O18" s="349"/>
      <c r="P18" s="343"/>
      <c r="Q18" s="343"/>
      <c r="R18" s="344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2"/>
      <c r="E19" s="291"/>
      <c r="F19" s="291"/>
      <c r="G19" s="291"/>
      <c r="H19" s="291"/>
      <c r="I19" s="291"/>
      <c r="J19" s="291"/>
      <c r="K19" s="291"/>
      <c r="L19" s="341"/>
      <c r="M19" s="345"/>
      <c r="N19" s="346"/>
      <c r="O19" s="349"/>
      <c r="P19" s="343"/>
      <c r="Q19" s="343"/>
      <c r="R19" s="344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9" customFormat="1" ht="63" customHeight="1" x14ac:dyDescent="0.3">
      <c r="A20" s="230"/>
      <c r="B20" s="227" t="s">
        <v>1046</v>
      </c>
      <c r="C20" s="228" t="s">
        <v>763</v>
      </c>
      <c r="D20" s="290">
        <f>D21+D22+D23+D24</f>
        <v>26664.400000000001</v>
      </c>
      <c r="E20" s="290">
        <f t="shared" ref="E20:K20" si="3">E21+E22+E23+E24</f>
        <v>2374</v>
      </c>
      <c r="F20" s="290">
        <f t="shared" si="3"/>
        <v>3219</v>
      </c>
      <c r="G20" s="290">
        <f t="shared" si="3"/>
        <v>5687</v>
      </c>
      <c r="H20" s="290">
        <f t="shared" si="3"/>
        <v>4768</v>
      </c>
      <c r="I20" s="290">
        <f t="shared" si="3"/>
        <v>3011.3999999999996</v>
      </c>
      <c r="J20" s="290">
        <f t="shared" si="3"/>
        <v>3641</v>
      </c>
      <c r="K20" s="290">
        <f t="shared" si="3"/>
        <v>3964</v>
      </c>
      <c r="L20" s="338">
        <f t="shared" ref="L20:R20" si="4">L21</f>
        <v>0</v>
      </c>
      <c r="M20" s="338">
        <f t="shared" si="4"/>
        <v>0</v>
      </c>
      <c r="N20" s="338">
        <f t="shared" si="4"/>
        <v>0</v>
      </c>
      <c r="O20" s="338">
        <f t="shared" si="4"/>
        <v>0</v>
      </c>
      <c r="P20" s="338">
        <f t="shared" si="4"/>
        <v>0</v>
      </c>
      <c r="Q20" s="338">
        <f t="shared" si="4"/>
        <v>0</v>
      </c>
      <c r="R20" s="338">
        <f t="shared" si="4"/>
        <v>0</v>
      </c>
      <c r="S20" s="230"/>
      <c r="T20" s="229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ht="45" customHeight="1" x14ac:dyDescent="0.25">
      <c r="A21" s="73"/>
      <c r="B21" s="74" t="s">
        <v>561</v>
      </c>
      <c r="C21" s="31" t="s">
        <v>710</v>
      </c>
      <c r="D21" s="290">
        <f>E21+F21+G21+H21+I21+J21+K21</f>
        <v>26664.400000000001</v>
      </c>
      <c r="E21" s="291">
        <v>2374</v>
      </c>
      <c r="F21" s="291">
        <v>3219</v>
      </c>
      <c r="G21" s="291">
        <v>5687</v>
      </c>
      <c r="H21" s="291">
        <v>4768</v>
      </c>
      <c r="I21" s="291">
        <v>3011.3999999999996</v>
      </c>
      <c r="J21" s="291">
        <v>3641</v>
      </c>
      <c r="K21" s="291">
        <v>3964</v>
      </c>
      <c r="L21" s="341"/>
      <c r="M21" s="342"/>
      <c r="N21" s="342"/>
      <c r="O21" s="342"/>
      <c r="P21" s="342"/>
      <c r="Q21" s="342"/>
      <c r="R21" s="342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5"/>
      <c r="C22" s="329" t="s">
        <v>766</v>
      </c>
      <c r="D22" s="337">
        <f>E22+F22+G22+H22+I22+J22+K22</f>
        <v>0</v>
      </c>
      <c r="E22" s="340">
        <v>0</v>
      </c>
      <c r="F22" s="340"/>
      <c r="G22" s="340"/>
      <c r="H22" s="340"/>
      <c r="I22" s="340"/>
      <c r="J22" s="340"/>
      <c r="K22" s="340"/>
      <c r="L22" s="341"/>
      <c r="M22" s="342"/>
      <c r="N22" s="342"/>
      <c r="O22" s="342"/>
      <c r="P22" s="342"/>
      <c r="Q22" s="342"/>
      <c r="R22" s="342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0">
        <f>E23+F23+G23+H23+I23+J23+K23</f>
        <v>0</v>
      </c>
      <c r="E23" s="291"/>
      <c r="F23" s="291"/>
      <c r="G23" s="291">
        <v>0</v>
      </c>
      <c r="H23" s="291"/>
      <c r="I23" s="291">
        <v>0</v>
      </c>
      <c r="J23" s="291"/>
      <c r="K23" s="291"/>
      <c r="L23" s="341"/>
      <c r="M23" s="342"/>
      <c r="N23" s="342"/>
      <c r="O23" s="342"/>
      <c r="P23" s="342"/>
      <c r="Q23" s="342"/>
      <c r="R23" s="342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0">
        <f>E24+F24+G24+H24+I24+J24+K24</f>
        <v>0</v>
      </c>
      <c r="E24" s="291"/>
      <c r="F24" s="291"/>
      <c r="G24" s="291"/>
      <c r="H24" s="291"/>
      <c r="I24" s="291"/>
      <c r="J24" s="291"/>
      <c r="K24" s="291"/>
      <c r="L24" s="341"/>
      <c r="M24" s="342"/>
      <c r="N24" s="342"/>
      <c r="O24" s="342"/>
      <c r="P24" s="342"/>
      <c r="Q24" s="342"/>
      <c r="R24" s="342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9" customFormat="1" ht="25.5" x14ac:dyDescent="0.3">
      <c r="A25" s="230"/>
      <c r="B25" s="227"/>
      <c r="C25" s="231" t="s">
        <v>566</v>
      </c>
      <c r="D25" s="290">
        <f>D9+D20</f>
        <v>31492.100000000002</v>
      </c>
      <c r="E25" s="290">
        <f t="shared" ref="E25:R25" si="5">E9+E20</f>
        <v>3356</v>
      </c>
      <c r="F25" s="290">
        <f>F9+F20</f>
        <v>3843</v>
      </c>
      <c r="G25" s="290">
        <f t="shared" si="5"/>
        <v>6175</v>
      </c>
      <c r="H25" s="290">
        <f t="shared" si="5"/>
        <v>5884.7</v>
      </c>
      <c r="I25" s="290">
        <f t="shared" si="5"/>
        <v>3581.3999999999996</v>
      </c>
      <c r="J25" s="290">
        <f t="shared" si="5"/>
        <v>4172</v>
      </c>
      <c r="K25" s="290">
        <f t="shared" si="5"/>
        <v>4480</v>
      </c>
      <c r="L25" s="337">
        <f t="shared" si="5"/>
        <v>0</v>
      </c>
      <c r="M25" s="337">
        <f t="shared" si="5"/>
        <v>0</v>
      </c>
      <c r="N25" s="337">
        <f t="shared" si="5"/>
        <v>0</v>
      </c>
      <c r="O25" s="337">
        <f t="shared" si="5"/>
        <v>0</v>
      </c>
      <c r="P25" s="337">
        <f t="shared" si="5"/>
        <v>0</v>
      </c>
      <c r="Q25" s="337">
        <f t="shared" si="5"/>
        <v>0</v>
      </c>
      <c r="R25" s="337">
        <f t="shared" si="5"/>
        <v>0</v>
      </c>
      <c r="S25" s="232"/>
      <c r="T25" s="229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  <row r="31" spans="1:255" x14ac:dyDescent="0.2">
      <c r="T31" s="63" t="s">
        <v>1169</v>
      </c>
    </row>
    <row r="32" spans="1:255" x14ac:dyDescent="0.2">
      <c r="T32" s="63" t="s">
        <v>1169</v>
      </c>
    </row>
    <row r="33" spans="5:20" x14ac:dyDescent="0.2">
      <c r="T33" s="63" t="s">
        <v>1169</v>
      </c>
    </row>
    <row r="34" spans="5:20" x14ac:dyDescent="0.2">
      <c r="T34" s="63" t="s">
        <v>1169</v>
      </c>
    </row>
    <row r="35" spans="5:20" x14ac:dyDescent="0.2">
      <c r="T35" s="63" t="s">
        <v>1169</v>
      </c>
    </row>
    <row r="36" spans="5:20" x14ac:dyDescent="0.2">
      <c r="E36" s="73" t="s">
        <v>1169</v>
      </c>
      <c r="T36" s="63" t="s">
        <v>1169</v>
      </c>
    </row>
    <row r="37" spans="5:20" x14ac:dyDescent="0.2">
      <c r="T37" s="63" t="s">
        <v>1169</v>
      </c>
    </row>
    <row r="38" spans="5:20" x14ac:dyDescent="0.2">
      <c r="T38" s="63" t="s">
        <v>1169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89"/>
    <col min="3" max="3" width="8" style="65"/>
    <col min="4" max="4" width="8" style="66"/>
    <col min="5" max="11" width="8" style="73"/>
    <col min="12" max="244" width="8" style="63"/>
    <col min="245" max="16384" width="8" style="33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K9" sqref="K9"/>
    </sheetView>
  </sheetViews>
  <sheetFormatPr defaultRowHeight="15" x14ac:dyDescent="0.25"/>
  <cols>
    <col min="1" max="1" width="20" style="122" customWidth="1"/>
    <col min="2" max="2" width="31.85546875" style="122" customWidth="1"/>
    <col min="3" max="3" width="48.710937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customWidth="1"/>
    <col min="9" max="9" width="13.85546875" style="122" customWidth="1"/>
    <col min="10" max="10" width="13.28515625" style="122" customWidth="1"/>
    <col min="11" max="11" width="11.5703125" style="122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4" width="9.7109375" style="122" customWidth="1"/>
    <col min="265" max="265" width="13.85546875" style="122" customWidth="1"/>
    <col min="266" max="266" width="13.28515625" style="122" customWidth="1"/>
    <col min="267" max="267" width="11.5703125" style="122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0" width="9.7109375" style="122" customWidth="1"/>
    <col min="521" max="521" width="13.85546875" style="122" customWidth="1"/>
    <col min="522" max="522" width="13.28515625" style="122" customWidth="1"/>
    <col min="523" max="523" width="11.5703125" style="122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6" width="9.7109375" style="122" customWidth="1"/>
    <col min="777" max="777" width="13.85546875" style="122" customWidth="1"/>
    <col min="778" max="778" width="13.28515625" style="122" customWidth="1"/>
    <col min="779" max="779" width="11.5703125" style="122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2" width="9.7109375" style="122" customWidth="1"/>
    <col min="1033" max="1033" width="13.85546875" style="122" customWidth="1"/>
    <col min="1034" max="1034" width="13.28515625" style="122" customWidth="1"/>
    <col min="1035" max="1035" width="11.5703125" style="122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88" width="9.7109375" style="122" customWidth="1"/>
    <col min="1289" max="1289" width="13.85546875" style="122" customWidth="1"/>
    <col min="1290" max="1290" width="13.28515625" style="122" customWidth="1"/>
    <col min="1291" max="1291" width="11.5703125" style="122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4" width="9.7109375" style="122" customWidth="1"/>
    <col min="1545" max="1545" width="13.85546875" style="122" customWidth="1"/>
    <col min="1546" max="1546" width="13.28515625" style="122" customWidth="1"/>
    <col min="1547" max="1547" width="11.5703125" style="122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0" width="9.7109375" style="122" customWidth="1"/>
    <col min="1801" max="1801" width="13.85546875" style="122" customWidth="1"/>
    <col min="1802" max="1802" width="13.28515625" style="122" customWidth="1"/>
    <col min="1803" max="1803" width="11.5703125" style="122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6" width="9.7109375" style="122" customWidth="1"/>
    <col min="2057" max="2057" width="13.85546875" style="122" customWidth="1"/>
    <col min="2058" max="2058" width="13.28515625" style="122" customWidth="1"/>
    <col min="2059" max="2059" width="11.5703125" style="122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2" width="9.7109375" style="122" customWidth="1"/>
    <col min="2313" max="2313" width="13.85546875" style="122" customWidth="1"/>
    <col min="2314" max="2314" width="13.28515625" style="122" customWidth="1"/>
    <col min="2315" max="2315" width="11.5703125" style="122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68" width="9.7109375" style="122" customWidth="1"/>
    <col min="2569" max="2569" width="13.85546875" style="122" customWidth="1"/>
    <col min="2570" max="2570" width="13.28515625" style="122" customWidth="1"/>
    <col min="2571" max="2571" width="11.5703125" style="122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4" width="9.7109375" style="122" customWidth="1"/>
    <col min="2825" max="2825" width="13.85546875" style="122" customWidth="1"/>
    <col min="2826" max="2826" width="13.28515625" style="122" customWidth="1"/>
    <col min="2827" max="2827" width="11.5703125" style="122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0" width="9.7109375" style="122" customWidth="1"/>
    <col min="3081" max="3081" width="13.85546875" style="122" customWidth="1"/>
    <col min="3082" max="3082" width="13.28515625" style="122" customWidth="1"/>
    <col min="3083" max="3083" width="11.5703125" style="122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6" width="9.7109375" style="122" customWidth="1"/>
    <col min="3337" max="3337" width="13.85546875" style="122" customWidth="1"/>
    <col min="3338" max="3338" width="13.28515625" style="122" customWidth="1"/>
    <col min="3339" max="3339" width="11.5703125" style="122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2" width="9.7109375" style="122" customWidth="1"/>
    <col min="3593" max="3593" width="13.85546875" style="122" customWidth="1"/>
    <col min="3594" max="3594" width="13.28515625" style="122" customWidth="1"/>
    <col min="3595" max="3595" width="11.5703125" style="122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48" width="9.7109375" style="122" customWidth="1"/>
    <col min="3849" max="3849" width="13.85546875" style="122" customWidth="1"/>
    <col min="3850" max="3850" width="13.28515625" style="122" customWidth="1"/>
    <col min="3851" max="3851" width="11.5703125" style="122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4" width="9.7109375" style="122" customWidth="1"/>
    <col min="4105" max="4105" width="13.85546875" style="122" customWidth="1"/>
    <col min="4106" max="4106" width="13.28515625" style="122" customWidth="1"/>
    <col min="4107" max="4107" width="11.5703125" style="122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0" width="9.7109375" style="122" customWidth="1"/>
    <col min="4361" max="4361" width="13.85546875" style="122" customWidth="1"/>
    <col min="4362" max="4362" width="13.28515625" style="122" customWidth="1"/>
    <col min="4363" max="4363" width="11.5703125" style="122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6" width="9.7109375" style="122" customWidth="1"/>
    <col min="4617" max="4617" width="13.85546875" style="122" customWidth="1"/>
    <col min="4618" max="4618" width="13.28515625" style="122" customWidth="1"/>
    <col min="4619" max="4619" width="11.5703125" style="122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2" width="9.7109375" style="122" customWidth="1"/>
    <col min="4873" max="4873" width="13.85546875" style="122" customWidth="1"/>
    <col min="4874" max="4874" width="13.28515625" style="122" customWidth="1"/>
    <col min="4875" max="4875" width="11.5703125" style="122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28" width="9.7109375" style="122" customWidth="1"/>
    <col min="5129" max="5129" width="13.85546875" style="122" customWidth="1"/>
    <col min="5130" max="5130" width="13.28515625" style="122" customWidth="1"/>
    <col min="5131" max="5131" width="11.5703125" style="122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4" width="9.7109375" style="122" customWidth="1"/>
    <col min="5385" max="5385" width="13.85546875" style="122" customWidth="1"/>
    <col min="5386" max="5386" width="13.28515625" style="122" customWidth="1"/>
    <col min="5387" max="5387" width="11.5703125" style="122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0" width="9.7109375" style="122" customWidth="1"/>
    <col min="5641" max="5641" width="13.85546875" style="122" customWidth="1"/>
    <col min="5642" max="5642" width="13.28515625" style="122" customWidth="1"/>
    <col min="5643" max="5643" width="11.5703125" style="122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6" width="9.7109375" style="122" customWidth="1"/>
    <col min="5897" max="5897" width="13.85546875" style="122" customWidth="1"/>
    <col min="5898" max="5898" width="13.28515625" style="122" customWidth="1"/>
    <col min="5899" max="5899" width="11.5703125" style="122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2" width="9.7109375" style="122" customWidth="1"/>
    <col min="6153" max="6153" width="13.85546875" style="122" customWidth="1"/>
    <col min="6154" max="6154" width="13.28515625" style="122" customWidth="1"/>
    <col min="6155" max="6155" width="11.5703125" style="122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08" width="9.7109375" style="122" customWidth="1"/>
    <col min="6409" max="6409" width="13.85546875" style="122" customWidth="1"/>
    <col min="6410" max="6410" width="13.28515625" style="122" customWidth="1"/>
    <col min="6411" max="6411" width="11.5703125" style="122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4" width="9.7109375" style="122" customWidth="1"/>
    <col min="6665" max="6665" width="13.85546875" style="122" customWidth="1"/>
    <col min="6666" max="6666" width="13.28515625" style="122" customWidth="1"/>
    <col min="6667" max="6667" width="11.5703125" style="122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0" width="9.7109375" style="122" customWidth="1"/>
    <col min="6921" max="6921" width="13.85546875" style="122" customWidth="1"/>
    <col min="6922" max="6922" width="13.28515625" style="122" customWidth="1"/>
    <col min="6923" max="6923" width="11.5703125" style="122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6" width="9.7109375" style="122" customWidth="1"/>
    <col min="7177" max="7177" width="13.85546875" style="122" customWidth="1"/>
    <col min="7178" max="7178" width="13.28515625" style="122" customWidth="1"/>
    <col min="7179" max="7179" width="11.5703125" style="122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2" width="9.7109375" style="122" customWidth="1"/>
    <col min="7433" max="7433" width="13.85546875" style="122" customWidth="1"/>
    <col min="7434" max="7434" width="13.28515625" style="122" customWidth="1"/>
    <col min="7435" max="7435" width="11.5703125" style="122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88" width="9.7109375" style="122" customWidth="1"/>
    <col min="7689" max="7689" width="13.85546875" style="122" customWidth="1"/>
    <col min="7690" max="7690" width="13.28515625" style="122" customWidth="1"/>
    <col min="7691" max="7691" width="11.5703125" style="122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4" width="9.7109375" style="122" customWidth="1"/>
    <col min="7945" max="7945" width="13.85546875" style="122" customWidth="1"/>
    <col min="7946" max="7946" width="13.28515625" style="122" customWidth="1"/>
    <col min="7947" max="7947" width="11.5703125" style="122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0" width="9.7109375" style="122" customWidth="1"/>
    <col min="8201" max="8201" width="13.85546875" style="122" customWidth="1"/>
    <col min="8202" max="8202" width="13.28515625" style="122" customWidth="1"/>
    <col min="8203" max="8203" width="11.5703125" style="122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6" width="9.7109375" style="122" customWidth="1"/>
    <col min="8457" max="8457" width="13.85546875" style="122" customWidth="1"/>
    <col min="8458" max="8458" width="13.28515625" style="122" customWidth="1"/>
    <col min="8459" max="8459" width="11.5703125" style="122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2" width="9.7109375" style="122" customWidth="1"/>
    <col min="8713" max="8713" width="13.85546875" style="122" customWidth="1"/>
    <col min="8714" max="8714" width="13.28515625" style="122" customWidth="1"/>
    <col min="8715" max="8715" width="11.5703125" style="122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68" width="9.7109375" style="122" customWidth="1"/>
    <col min="8969" max="8969" width="13.85546875" style="122" customWidth="1"/>
    <col min="8970" max="8970" width="13.28515625" style="122" customWidth="1"/>
    <col min="8971" max="8971" width="11.5703125" style="122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4" width="9.7109375" style="122" customWidth="1"/>
    <col min="9225" max="9225" width="13.85546875" style="122" customWidth="1"/>
    <col min="9226" max="9226" width="13.28515625" style="122" customWidth="1"/>
    <col min="9227" max="9227" width="11.5703125" style="122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0" width="9.7109375" style="122" customWidth="1"/>
    <col min="9481" max="9481" width="13.85546875" style="122" customWidth="1"/>
    <col min="9482" max="9482" width="13.28515625" style="122" customWidth="1"/>
    <col min="9483" max="9483" width="11.5703125" style="122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6" width="9.7109375" style="122" customWidth="1"/>
    <col min="9737" max="9737" width="13.85546875" style="122" customWidth="1"/>
    <col min="9738" max="9738" width="13.28515625" style="122" customWidth="1"/>
    <col min="9739" max="9739" width="11.5703125" style="122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2" width="9.7109375" style="122" customWidth="1"/>
    <col min="9993" max="9993" width="13.85546875" style="122" customWidth="1"/>
    <col min="9994" max="9994" width="13.28515625" style="122" customWidth="1"/>
    <col min="9995" max="9995" width="11.5703125" style="122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48" width="9.7109375" style="122" customWidth="1"/>
    <col min="10249" max="10249" width="13.85546875" style="122" customWidth="1"/>
    <col min="10250" max="10250" width="13.28515625" style="122" customWidth="1"/>
    <col min="10251" max="10251" width="11.5703125" style="122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4" width="9.7109375" style="122" customWidth="1"/>
    <col min="10505" max="10505" width="13.85546875" style="122" customWidth="1"/>
    <col min="10506" max="10506" width="13.28515625" style="122" customWidth="1"/>
    <col min="10507" max="10507" width="11.5703125" style="122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0" width="9.7109375" style="122" customWidth="1"/>
    <col min="10761" max="10761" width="13.85546875" style="122" customWidth="1"/>
    <col min="10762" max="10762" width="13.28515625" style="122" customWidth="1"/>
    <col min="10763" max="10763" width="11.5703125" style="122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6" width="9.7109375" style="122" customWidth="1"/>
    <col min="11017" max="11017" width="13.85546875" style="122" customWidth="1"/>
    <col min="11018" max="11018" width="13.28515625" style="122" customWidth="1"/>
    <col min="11019" max="11019" width="11.5703125" style="122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2" width="9.7109375" style="122" customWidth="1"/>
    <col min="11273" max="11273" width="13.85546875" style="122" customWidth="1"/>
    <col min="11274" max="11274" width="13.28515625" style="122" customWidth="1"/>
    <col min="11275" max="11275" width="11.5703125" style="122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28" width="9.7109375" style="122" customWidth="1"/>
    <col min="11529" max="11529" width="13.85546875" style="122" customWidth="1"/>
    <col min="11530" max="11530" width="13.28515625" style="122" customWidth="1"/>
    <col min="11531" max="11531" width="11.5703125" style="122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4" width="9.7109375" style="122" customWidth="1"/>
    <col min="11785" max="11785" width="13.85546875" style="122" customWidth="1"/>
    <col min="11786" max="11786" width="13.28515625" style="122" customWidth="1"/>
    <col min="11787" max="11787" width="11.5703125" style="122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0" width="9.7109375" style="122" customWidth="1"/>
    <col min="12041" max="12041" width="13.85546875" style="122" customWidth="1"/>
    <col min="12042" max="12042" width="13.28515625" style="122" customWidth="1"/>
    <col min="12043" max="12043" width="11.5703125" style="122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6" width="9.7109375" style="122" customWidth="1"/>
    <col min="12297" max="12297" width="13.85546875" style="122" customWidth="1"/>
    <col min="12298" max="12298" width="13.28515625" style="122" customWidth="1"/>
    <col min="12299" max="12299" width="11.5703125" style="122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2" width="9.7109375" style="122" customWidth="1"/>
    <col min="12553" max="12553" width="13.85546875" style="122" customWidth="1"/>
    <col min="12554" max="12554" width="13.28515625" style="122" customWidth="1"/>
    <col min="12555" max="12555" width="11.5703125" style="122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08" width="9.7109375" style="122" customWidth="1"/>
    <col min="12809" max="12809" width="13.85546875" style="122" customWidth="1"/>
    <col min="12810" max="12810" width="13.28515625" style="122" customWidth="1"/>
    <col min="12811" max="12811" width="11.5703125" style="122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4" width="9.7109375" style="122" customWidth="1"/>
    <col min="13065" max="13065" width="13.85546875" style="122" customWidth="1"/>
    <col min="13066" max="13066" width="13.28515625" style="122" customWidth="1"/>
    <col min="13067" max="13067" width="11.5703125" style="122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0" width="9.7109375" style="122" customWidth="1"/>
    <col min="13321" max="13321" width="13.85546875" style="122" customWidth="1"/>
    <col min="13322" max="13322" width="13.28515625" style="122" customWidth="1"/>
    <col min="13323" max="13323" width="11.5703125" style="122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6" width="9.7109375" style="122" customWidth="1"/>
    <col min="13577" max="13577" width="13.85546875" style="122" customWidth="1"/>
    <col min="13578" max="13578" width="13.28515625" style="122" customWidth="1"/>
    <col min="13579" max="13579" width="11.5703125" style="122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2" width="9.7109375" style="122" customWidth="1"/>
    <col min="13833" max="13833" width="13.85546875" style="122" customWidth="1"/>
    <col min="13834" max="13834" width="13.28515625" style="122" customWidth="1"/>
    <col min="13835" max="13835" width="11.5703125" style="122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88" width="9.7109375" style="122" customWidth="1"/>
    <col min="14089" max="14089" width="13.85546875" style="122" customWidth="1"/>
    <col min="14090" max="14090" width="13.28515625" style="122" customWidth="1"/>
    <col min="14091" max="14091" width="11.5703125" style="122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4" width="9.7109375" style="122" customWidth="1"/>
    <col min="14345" max="14345" width="13.85546875" style="122" customWidth="1"/>
    <col min="14346" max="14346" width="13.28515625" style="122" customWidth="1"/>
    <col min="14347" max="14347" width="11.5703125" style="122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0" width="9.7109375" style="122" customWidth="1"/>
    <col min="14601" max="14601" width="13.85546875" style="122" customWidth="1"/>
    <col min="14602" max="14602" width="13.28515625" style="122" customWidth="1"/>
    <col min="14603" max="14603" width="11.5703125" style="122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6" width="9.7109375" style="122" customWidth="1"/>
    <col min="14857" max="14857" width="13.85546875" style="122" customWidth="1"/>
    <col min="14858" max="14858" width="13.28515625" style="122" customWidth="1"/>
    <col min="14859" max="14859" width="11.5703125" style="122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2" width="9.7109375" style="122" customWidth="1"/>
    <col min="15113" max="15113" width="13.85546875" style="122" customWidth="1"/>
    <col min="15114" max="15114" width="13.28515625" style="122" customWidth="1"/>
    <col min="15115" max="15115" width="11.5703125" style="122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68" width="9.7109375" style="122" customWidth="1"/>
    <col min="15369" max="15369" width="13.85546875" style="122" customWidth="1"/>
    <col min="15370" max="15370" width="13.28515625" style="122" customWidth="1"/>
    <col min="15371" max="15371" width="11.5703125" style="122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4" width="9.7109375" style="122" customWidth="1"/>
    <col min="15625" max="15625" width="13.85546875" style="122" customWidth="1"/>
    <col min="15626" max="15626" width="13.28515625" style="122" customWidth="1"/>
    <col min="15627" max="15627" width="11.5703125" style="122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0" width="9.7109375" style="122" customWidth="1"/>
    <col min="15881" max="15881" width="13.85546875" style="122" customWidth="1"/>
    <col min="15882" max="15882" width="13.28515625" style="122" customWidth="1"/>
    <col min="15883" max="15883" width="11.5703125" style="122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6" width="9.7109375" style="122" customWidth="1"/>
    <col min="16137" max="16137" width="13.85546875" style="122" customWidth="1"/>
    <col min="16138" max="16138" width="13.28515625" style="122" customWidth="1"/>
    <col min="16139" max="16139" width="11.5703125" style="122" customWidth="1"/>
    <col min="16140" max="16140" width="15.28515625" style="122" customWidth="1"/>
    <col min="16141" max="16384" width="9.140625" style="122"/>
  </cols>
  <sheetData>
    <row r="1" spans="1:11" x14ac:dyDescent="0.25">
      <c r="J1" s="507" t="s">
        <v>1182</v>
      </c>
      <c r="K1" s="507"/>
    </row>
    <row r="2" spans="1:11" ht="51.75" customHeight="1" x14ac:dyDescent="0.3">
      <c r="A2" s="497"/>
      <c r="B2" s="497"/>
      <c r="C2" s="497"/>
      <c r="I2" s="498" t="s">
        <v>1218</v>
      </c>
      <c r="J2" s="498"/>
      <c r="K2" s="498"/>
    </row>
    <row r="3" spans="1:11" s="293" customFormat="1" ht="48" customHeight="1" x14ac:dyDescent="0.3">
      <c r="A3" s="474" t="s">
        <v>1219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1:11" s="293" customFormat="1" ht="18.75" x14ac:dyDescent="0.3">
      <c r="A4" s="294"/>
      <c r="B4" s="294"/>
      <c r="C4" s="294"/>
      <c r="D4" s="295"/>
      <c r="E4" s="295"/>
      <c r="F4" s="295"/>
      <c r="G4" s="295"/>
      <c r="I4" s="500" t="s">
        <v>549</v>
      </c>
      <c r="J4" s="500"/>
      <c r="K4" s="500"/>
    </row>
    <row r="5" spans="1:11" s="296" customFormat="1" ht="12.75" customHeight="1" x14ac:dyDescent="0.2">
      <c r="A5" s="508" t="s">
        <v>674</v>
      </c>
      <c r="B5" s="508" t="s">
        <v>675</v>
      </c>
      <c r="C5" s="501" t="s">
        <v>676</v>
      </c>
      <c r="D5" s="489" t="s">
        <v>1220</v>
      </c>
      <c r="E5" s="490"/>
      <c r="F5" s="490"/>
      <c r="G5" s="491"/>
      <c r="H5" s="489" t="s">
        <v>1221</v>
      </c>
      <c r="I5" s="490"/>
      <c r="J5" s="490"/>
      <c r="K5" s="491"/>
    </row>
    <row r="6" spans="1:11" s="296" customFormat="1" ht="12.75" x14ac:dyDescent="0.2">
      <c r="A6" s="509"/>
      <c r="B6" s="511"/>
      <c r="C6" s="501"/>
      <c r="D6" s="487" t="s">
        <v>555</v>
      </c>
      <c r="E6" s="489" t="s">
        <v>677</v>
      </c>
      <c r="F6" s="490"/>
      <c r="G6" s="491"/>
      <c r="H6" s="487" t="s">
        <v>555</v>
      </c>
      <c r="I6" s="489" t="s">
        <v>677</v>
      </c>
      <c r="J6" s="490"/>
      <c r="K6" s="491"/>
    </row>
    <row r="7" spans="1:11" s="296" customFormat="1" ht="57" customHeight="1" x14ac:dyDescent="0.2">
      <c r="A7" s="510"/>
      <c r="B7" s="512"/>
      <c r="C7" s="501"/>
      <c r="D7" s="488"/>
      <c r="E7" s="324" t="s">
        <v>678</v>
      </c>
      <c r="F7" s="297" t="s">
        <v>679</v>
      </c>
      <c r="G7" s="297" t="s">
        <v>680</v>
      </c>
      <c r="H7" s="488"/>
      <c r="I7" s="297" t="s">
        <v>678</v>
      </c>
      <c r="J7" s="297" t="s">
        <v>679</v>
      </c>
      <c r="K7" s="297" t="s">
        <v>680</v>
      </c>
    </row>
    <row r="8" spans="1:11" s="300" customFormat="1" ht="99.75" customHeight="1" x14ac:dyDescent="0.2">
      <c r="A8" s="446" t="s">
        <v>699</v>
      </c>
      <c r="B8" s="353" t="s">
        <v>700</v>
      </c>
      <c r="C8" s="353" t="s">
        <v>701</v>
      </c>
      <c r="D8" s="299">
        <f>E8+F8+G8</f>
        <v>780</v>
      </c>
      <c r="E8" s="299">
        <v>0</v>
      </c>
      <c r="F8" s="299">
        <v>0</v>
      </c>
      <c r="G8" s="299">
        <v>780</v>
      </c>
      <c r="H8" s="299">
        <f>I8+J8+K8</f>
        <v>865</v>
      </c>
      <c r="I8" s="299">
        <v>0</v>
      </c>
      <c r="J8" s="299">
        <v>0</v>
      </c>
      <c r="K8" s="299">
        <v>865</v>
      </c>
    </row>
    <row r="9" spans="1:11" s="296" customFormat="1" ht="27" customHeight="1" x14ac:dyDescent="0.2">
      <c r="A9" s="504" t="s">
        <v>555</v>
      </c>
      <c r="B9" s="505"/>
      <c r="C9" s="506"/>
      <c r="D9" s="301">
        <f>D8</f>
        <v>780</v>
      </c>
      <c r="E9" s="301">
        <f t="shared" ref="E9:K9" si="0">E8</f>
        <v>0</v>
      </c>
      <c r="F9" s="301">
        <f t="shared" si="0"/>
        <v>0</v>
      </c>
      <c r="G9" s="301">
        <f t="shared" si="0"/>
        <v>780</v>
      </c>
      <c r="H9" s="301">
        <f t="shared" si="0"/>
        <v>865</v>
      </c>
      <c r="I9" s="301">
        <f t="shared" si="0"/>
        <v>0</v>
      </c>
      <c r="J9" s="301">
        <f t="shared" si="0"/>
        <v>0</v>
      </c>
      <c r="K9" s="301">
        <f t="shared" si="0"/>
        <v>865</v>
      </c>
    </row>
    <row r="11" spans="1:11" ht="18.75" x14ac:dyDescent="0.3">
      <c r="D11" s="302"/>
      <c r="E11" s="302"/>
      <c r="F11" s="302"/>
      <c r="G11" s="302"/>
      <c r="H11" s="303"/>
      <c r="I11" s="303"/>
    </row>
    <row r="12" spans="1:11" ht="18.75" x14ac:dyDescent="0.3">
      <c r="D12" s="302"/>
      <c r="E12" s="302"/>
      <c r="F12" s="302"/>
      <c r="G12" s="302"/>
      <c r="H12" s="303"/>
      <c r="I12" s="303"/>
    </row>
    <row r="13" spans="1:11" ht="18.75" x14ac:dyDescent="0.3">
      <c r="D13" s="304"/>
      <c r="E13" s="302"/>
      <c r="F13" s="302"/>
      <c r="G13" s="305"/>
      <c r="H13" s="303"/>
      <c r="I13" s="306"/>
    </row>
    <row r="14" spans="1:11" ht="18.75" x14ac:dyDescent="0.3">
      <c r="D14" s="302"/>
      <c r="E14" s="302"/>
      <c r="F14" s="302"/>
      <c r="G14" s="302"/>
      <c r="H14" s="303"/>
      <c r="I14" s="303"/>
    </row>
    <row r="15" spans="1:11" ht="18.75" x14ac:dyDescent="0.3">
      <c r="D15" s="302"/>
      <c r="E15" s="302"/>
      <c r="F15" s="302"/>
      <c r="G15" s="302"/>
      <c r="H15" s="303"/>
      <c r="I15" s="303"/>
    </row>
    <row r="16" spans="1:11" x14ac:dyDescent="0.25">
      <c r="D16" s="134"/>
      <c r="E16" s="134"/>
      <c r="F16" s="134"/>
      <c r="G16" s="134"/>
      <c r="H16" s="126"/>
      <c r="I16" s="126"/>
    </row>
    <row r="17" spans="4:9" x14ac:dyDescent="0.25">
      <c r="D17" s="134"/>
      <c r="E17" s="134"/>
      <c r="F17" s="134"/>
      <c r="G17" s="134"/>
      <c r="H17" s="126"/>
      <c r="I17" s="126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110" zoomScaleNormal="100" zoomScaleSheetLayoutView="110" workbookViewId="0">
      <selection activeCell="C24" sqref="C24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24" width="9.140625" style="3"/>
    <col min="225" max="225" width="7.7109375" style="3" customWidth="1"/>
    <col min="226" max="226" width="59.42578125" style="3" customWidth="1"/>
    <col min="227" max="227" width="26.28515625" style="3" customWidth="1"/>
    <col min="228" max="230" width="0" style="3" hidden="1" customWidth="1"/>
    <col min="231" max="231" width="12.85546875" style="3" bestFit="1" customWidth="1"/>
    <col min="232" max="232" width="10.85546875" style="3" bestFit="1" customWidth="1"/>
    <col min="233" max="233" width="9.5703125" style="3" bestFit="1" customWidth="1"/>
    <col min="234" max="480" width="9.140625" style="3"/>
    <col min="481" max="481" width="7.7109375" style="3" customWidth="1"/>
    <col min="482" max="482" width="59.42578125" style="3" customWidth="1"/>
    <col min="483" max="483" width="26.28515625" style="3" customWidth="1"/>
    <col min="484" max="486" width="0" style="3" hidden="1" customWidth="1"/>
    <col min="487" max="487" width="12.85546875" style="3" bestFit="1" customWidth="1"/>
    <col min="488" max="488" width="10.85546875" style="3" bestFit="1" customWidth="1"/>
    <col min="489" max="489" width="9.5703125" style="3" bestFit="1" customWidth="1"/>
    <col min="490" max="736" width="9.140625" style="3"/>
    <col min="737" max="737" width="7.7109375" style="3" customWidth="1"/>
    <col min="738" max="738" width="59.42578125" style="3" customWidth="1"/>
    <col min="739" max="739" width="26.28515625" style="3" customWidth="1"/>
    <col min="740" max="742" width="0" style="3" hidden="1" customWidth="1"/>
    <col min="743" max="743" width="12.85546875" style="3" bestFit="1" customWidth="1"/>
    <col min="744" max="744" width="10.85546875" style="3" bestFit="1" customWidth="1"/>
    <col min="745" max="745" width="9.5703125" style="3" bestFit="1" customWidth="1"/>
    <col min="746" max="992" width="9.140625" style="3"/>
    <col min="993" max="993" width="7.7109375" style="3" customWidth="1"/>
    <col min="994" max="994" width="59.42578125" style="3" customWidth="1"/>
    <col min="995" max="995" width="26.28515625" style="3" customWidth="1"/>
    <col min="996" max="998" width="0" style="3" hidden="1" customWidth="1"/>
    <col min="999" max="999" width="12.85546875" style="3" bestFit="1" customWidth="1"/>
    <col min="1000" max="1000" width="10.85546875" style="3" bestFit="1" customWidth="1"/>
    <col min="1001" max="1001" width="9.5703125" style="3" bestFit="1" customWidth="1"/>
    <col min="1002" max="1248" width="9.140625" style="3"/>
    <col min="1249" max="1249" width="7.7109375" style="3" customWidth="1"/>
    <col min="1250" max="1250" width="59.42578125" style="3" customWidth="1"/>
    <col min="1251" max="1251" width="26.28515625" style="3" customWidth="1"/>
    <col min="1252" max="1254" width="0" style="3" hidden="1" customWidth="1"/>
    <col min="1255" max="1255" width="12.85546875" style="3" bestFit="1" customWidth="1"/>
    <col min="1256" max="1256" width="10.85546875" style="3" bestFit="1" customWidth="1"/>
    <col min="1257" max="1257" width="9.5703125" style="3" bestFit="1" customWidth="1"/>
    <col min="1258" max="1504" width="9.140625" style="3"/>
    <col min="1505" max="1505" width="7.7109375" style="3" customWidth="1"/>
    <col min="1506" max="1506" width="59.42578125" style="3" customWidth="1"/>
    <col min="1507" max="1507" width="26.28515625" style="3" customWidth="1"/>
    <col min="1508" max="1510" width="0" style="3" hidden="1" customWidth="1"/>
    <col min="1511" max="1511" width="12.85546875" style="3" bestFit="1" customWidth="1"/>
    <col min="1512" max="1512" width="10.85546875" style="3" bestFit="1" customWidth="1"/>
    <col min="1513" max="1513" width="9.5703125" style="3" bestFit="1" customWidth="1"/>
    <col min="1514" max="1760" width="9.140625" style="3"/>
    <col min="1761" max="1761" width="7.7109375" style="3" customWidth="1"/>
    <col min="1762" max="1762" width="59.42578125" style="3" customWidth="1"/>
    <col min="1763" max="1763" width="26.28515625" style="3" customWidth="1"/>
    <col min="1764" max="1766" width="0" style="3" hidden="1" customWidth="1"/>
    <col min="1767" max="1767" width="12.85546875" style="3" bestFit="1" customWidth="1"/>
    <col min="1768" max="1768" width="10.85546875" style="3" bestFit="1" customWidth="1"/>
    <col min="1769" max="1769" width="9.5703125" style="3" bestFit="1" customWidth="1"/>
    <col min="1770" max="2016" width="9.140625" style="3"/>
    <col min="2017" max="2017" width="7.7109375" style="3" customWidth="1"/>
    <col min="2018" max="2018" width="59.42578125" style="3" customWidth="1"/>
    <col min="2019" max="2019" width="26.28515625" style="3" customWidth="1"/>
    <col min="2020" max="2022" width="0" style="3" hidden="1" customWidth="1"/>
    <col min="2023" max="2023" width="12.85546875" style="3" bestFit="1" customWidth="1"/>
    <col min="2024" max="2024" width="10.85546875" style="3" bestFit="1" customWidth="1"/>
    <col min="2025" max="2025" width="9.5703125" style="3" bestFit="1" customWidth="1"/>
    <col min="2026" max="2272" width="9.140625" style="3"/>
    <col min="2273" max="2273" width="7.7109375" style="3" customWidth="1"/>
    <col min="2274" max="2274" width="59.42578125" style="3" customWidth="1"/>
    <col min="2275" max="2275" width="26.28515625" style="3" customWidth="1"/>
    <col min="2276" max="2278" width="0" style="3" hidden="1" customWidth="1"/>
    <col min="2279" max="2279" width="12.85546875" style="3" bestFit="1" customWidth="1"/>
    <col min="2280" max="2280" width="10.85546875" style="3" bestFit="1" customWidth="1"/>
    <col min="2281" max="2281" width="9.5703125" style="3" bestFit="1" customWidth="1"/>
    <col min="2282" max="2528" width="9.140625" style="3"/>
    <col min="2529" max="2529" width="7.7109375" style="3" customWidth="1"/>
    <col min="2530" max="2530" width="59.42578125" style="3" customWidth="1"/>
    <col min="2531" max="2531" width="26.28515625" style="3" customWidth="1"/>
    <col min="2532" max="2534" width="0" style="3" hidden="1" customWidth="1"/>
    <col min="2535" max="2535" width="12.85546875" style="3" bestFit="1" customWidth="1"/>
    <col min="2536" max="2536" width="10.85546875" style="3" bestFit="1" customWidth="1"/>
    <col min="2537" max="2537" width="9.5703125" style="3" bestFit="1" customWidth="1"/>
    <col min="2538" max="2784" width="9.140625" style="3"/>
    <col min="2785" max="2785" width="7.7109375" style="3" customWidth="1"/>
    <col min="2786" max="2786" width="59.42578125" style="3" customWidth="1"/>
    <col min="2787" max="2787" width="26.28515625" style="3" customWidth="1"/>
    <col min="2788" max="2790" width="0" style="3" hidden="1" customWidth="1"/>
    <col min="2791" max="2791" width="12.85546875" style="3" bestFit="1" customWidth="1"/>
    <col min="2792" max="2792" width="10.85546875" style="3" bestFit="1" customWidth="1"/>
    <col min="2793" max="2793" width="9.5703125" style="3" bestFit="1" customWidth="1"/>
    <col min="2794" max="3040" width="9.140625" style="3"/>
    <col min="3041" max="3041" width="7.7109375" style="3" customWidth="1"/>
    <col min="3042" max="3042" width="59.42578125" style="3" customWidth="1"/>
    <col min="3043" max="3043" width="26.28515625" style="3" customWidth="1"/>
    <col min="3044" max="3046" width="0" style="3" hidden="1" customWidth="1"/>
    <col min="3047" max="3047" width="12.85546875" style="3" bestFit="1" customWidth="1"/>
    <col min="3048" max="3048" width="10.85546875" style="3" bestFit="1" customWidth="1"/>
    <col min="3049" max="3049" width="9.5703125" style="3" bestFit="1" customWidth="1"/>
    <col min="3050" max="3296" width="9.140625" style="3"/>
    <col min="3297" max="3297" width="7.7109375" style="3" customWidth="1"/>
    <col min="3298" max="3298" width="59.42578125" style="3" customWidth="1"/>
    <col min="3299" max="3299" width="26.28515625" style="3" customWidth="1"/>
    <col min="3300" max="3302" width="0" style="3" hidden="1" customWidth="1"/>
    <col min="3303" max="3303" width="12.85546875" style="3" bestFit="1" customWidth="1"/>
    <col min="3304" max="3304" width="10.85546875" style="3" bestFit="1" customWidth="1"/>
    <col min="3305" max="3305" width="9.5703125" style="3" bestFit="1" customWidth="1"/>
    <col min="3306" max="3552" width="9.140625" style="3"/>
    <col min="3553" max="3553" width="7.7109375" style="3" customWidth="1"/>
    <col min="3554" max="3554" width="59.42578125" style="3" customWidth="1"/>
    <col min="3555" max="3555" width="26.28515625" style="3" customWidth="1"/>
    <col min="3556" max="3558" width="0" style="3" hidden="1" customWidth="1"/>
    <col min="3559" max="3559" width="12.85546875" style="3" bestFit="1" customWidth="1"/>
    <col min="3560" max="3560" width="10.85546875" style="3" bestFit="1" customWidth="1"/>
    <col min="3561" max="3561" width="9.5703125" style="3" bestFit="1" customWidth="1"/>
    <col min="3562" max="3808" width="9.140625" style="3"/>
    <col min="3809" max="3809" width="7.7109375" style="3" customWidth="1"/>
    <col min="3810" max="3810" width="59.42578125" style="3" customWidth="1"/>
    <col min="3811" max="3811" width="26.28515625" style="3" customWidth="1"/>
    <col min="3812" max="3814" width="0" style="3" hidden="1" customWidth="1"/>
    <col min="3815" max="3815" width="12.85546875" style="3" bestFit="1" customWidth="1"/>
    <col min="3816" max="3816" width="10.85546875" style="3" bestFit="1" customWidth="1"/>
    <col min="3817" max="3817" width="9.5703125" style="3" bestFit="1" customWidth="1"/>
    <col min="3818" max="4064" width="9.140625" style="3"/>
    <col min="4065" max="4065" width="7.7109375" style="3" customWidth="1"/>
    <col min="4066" max="4066" width="59.42578125" style="3" customWidth="1"/>
    <col min="4067" max="4067" width="26.28515625" style="3" customWidth="1"/>
    <col min="4068" max="4070" width="0" style="3" hidden="1" customWidth="1"/>
    <col min="4071" max="4071" width="12.85546875" style="3" bestFit="1" customWidth="1"/>
    <col min="4072" max="4072" width="10.85546875" style="3" bestFit="1" customWidth="1"/>
    <col min="4073" max="4073" width="9.5703125" style="3" bestFit="1" customWidth="1"/>
    <col min="4074" max="4320" width="9.140625" style="3"/>
    <col min="4321" max="4321" width="7.7109375" style="3" customWidth="1"/>
    <col min="4322" max="4322" width="59.42578125" style="3" customWidth="1"/>
    <col min="4323" max="4323" width="26.28515625" style="3" customWidth="1"/>
    <col min="4324" max="4326" width="0" style="3" hidden="1" customWidth="1"/>
    <col min="4327" max="4327" width="12.85546875" style="3" bestFit="1" customWidth="1"/>
    <col min="4328" max="4328" width="10.85546875" style="3" bestFit="1" customWidth="1"/>
    <col min="4329" max="4329" width="9.5703125" style="3" bestFit="1" customWidth="1"/>
    <col min="4330" max="4576" width="9.140625" style="3"/>
    <col min="4577" max="4577" width="7.7109375" style="3" customWidth="1"/>
    <col min="4578" max="4578" width="59.42578125" style="3" customWidth="1"/>
    <col min="4579" max="4579" width="26.28515625" style="3" customWidth="1"/>
    <col min="4580" max="4582" width="0" style="3" hidden="1" customWidth="1"/>
    <col min="4583" max="4583" width="12.85546875" style="3" bestFit="1" customWidth="1"/>
    <col min="4584" max="4584" width="10.85546875" style="3" bestFit="1" customWidth="1"/>
    <col min="4585" max="4585" width="9.5703125" style="3" bestFit="1" customWidth="1"/>
    <col min="4586" max="4832" width="9.140625" style="3"/>
    <col min="4833" max="4833" width="7.7109375" style="3" customWidth="1"/>
    <col min="4834" max="4834" width="59.42578125" style="3" customWidth="1"/>
    <col min="4835" max="4835" width="26.28515625" style="3" customWidth="1"/>
    <col min="4836" max="4838" width="0" style="3" hidden="1" customWidth="1"/>
    <col min="4839" max="4839" width="12.85546875" style="3" bestFit="1" customWidth="1"/>
    <col min="4840" max="4840" width="10.85546875" style="3" bestFit="1" customWidth="1"/>
    <col min="4841" max="4841" width="9.5703125" style="3" bestFit="1" customWidth="1"/>
    <col min="4842" max="5088" width="9.140625" style="3"/>
    <col min="5089" max="5089" width="7.7109375" style="3" customWidth="1"/>
    <col min="5090" max="5090" width="59.42578125" style="3" customWidth="1"/>
    <col min="5091" max="5091" width="26.28515625" style="3" customWidth="1"/>
    <col min="5092" max="5094" width="0" style="3" hidden="1" customWidth="1"/>
    <col min="5095" max="5095" width="12.85546875" style="3" bestFit="1" customWidth="1"/>
    <col min="5096" max="5096" width="10.85546875" style="3" bestFit="1" customWidth="1"/>
    <col min="5097" max="5097" width="9.5703125" style="3" bestFit="1" customWidth="1"/>
    <col min="5098" max="5344" width="9.140625" style="3"/>
    <col min="5345" max="5345" width="7.7109375" style="3" customWidth="1"/>
    <col min="5346" max="5346" width="59.42578125" style="3" customWidth="1"/>
    <col min="5347" max="5347" width="26.28515625" style="3" customWidth="1"/>
    <col min="5348" max="5350" width="0" style="3" hidden="1" customWidth="1"/>
    <col min="5351" max="5351" width="12.85546875" style="3" bestFit="1" customWidth="1"/>
    <col min="5352" max="5352" width="10.85546875" style="3" bestFit="1" customWidth="1"/>
    <col min="5353" max="5353" width="9.5703125" style="3" bestFit="1" customWidth="1"/>
    <col min="5354" max="5600" width="9.140625" style="3"/>
    <col min="5601" max="5601" width="7.7109375" style="3" customWidth="1"/>
    <col min="5602" max="5602" width="59.42578125" style="3" customWidth="1"/>
    <col min="5603" max="5603" width="26.28515625" style="3" customWidth="1"/>
    <col min="5604" max="5606" width="0" style="3" hidden="1" customWidth="1"/>
    <col min="5607" max="5607" width="12.85546875" style="3" bestFit="1" customWidth="1"/>
    <col min="5608" max="5608" width="10.85546875" style="3" bestFit="1" customWidth="1"/>
    <col min="5609" max="5609" width="9.5703125" style="3" bestFit="1" customWidth="1"/>
    <col min="5610" max="5856" width="9.140625" style="3"/>
    <col min="5857" max="5857" width="7.7109375" style="3" customWidth="1"/>
    <col min="5858" max="5858" width="59.42578125" style="3" customWidth="1"/>
    <col min="5859" max="5859" width="26.28515625" style="3" customWidth="1"/>
    <col min="5860" max="5862" width="0" style="3" hidden="1" customWidth="1"/>
    <col min="5863" max="5863" width="12.85546875" style="3" bestFit="1" customWidth="1"/>
    <col min="5864" max="5864" width="10.85546875" style="3" bestFit="1" customWidth="1"/>
    <col min="5865" max="5865" width="9.5703125" style="3" bestFit="1" customWidth="1"/>
    <col min="5866" max="6112" width="9.140625" style="3"/>
    <col min="6113" max="6113" width="7.7109375" style="3" customWidth="1"/>
    <col min="6114" max="6114" width="59.42578125" style="3" customWidth="1"/>
    <col min="6115" max="6115" width="26.28515625" style="3" customWidth="1"/>
    <col min="6116" max="6118" width="0" style="3" hidden="1" customWidth="1"/>
    <col min="6119" max="6119" width="12.85546875" style="3" bestFit="1" customWidth="1"/>
    <col min="6120" max="6120" width="10.85546875" style="3" bestFit="1" customWidth="1"/>
    <col min="6121" max="6121" width="9.5703125" style="3" bestFit="1" customWidth="1"/>
    <col min="6122" max="6368" width="9.140625" style="3"/>
    <col min="6369" max="6369" width="7.7109375" style="3" customWidth="1"/>
    <col min="6370" max="6370" width="59.42578125" style="3" customWidth="1"/>
    <col min="6371" max="6371" width="26.28515625" style="3" customWidth="1"/>
    <col min="6372" max="6374" width="0" style="3" hidden="1" customWidth="1"/>
    <col min="6375" max="6375" width="12.85546875" style="3" bestFit="1" customWidth="1"/>
    <col min="6376" max="6376" width="10.85546875" style="3" bestFit="1" customWidth="1"/>
    <col min="6377" max="6377" width="9.5703125" style="3" bestFit="1" customWidth="1"/>
    <col min="6378" max="6624" width="9.140625" style="3"/>
    <col min="6625" max="6625" width="7.7109375" style="3" customWidth="1"/>
    <col min="6626" max="6626" width="59.42578125" style="3" customWidth="1"/>
    <col min="6627" max="6627" width="26.28515625" style="3" customWidth="1"/>
    <col min="6628" max="6630" width="0" style="3" hidden="1" customWidth="1"/>
    <col min="6631" max="6631" width="12.85546875" style="3" bestFit="1" customWidth="1"/>
    <col min="6632" max="6632" width="10.85546875" style="3" bestFit="1" customWidth="1"/>
    <col min="6633" max="6633" width="9.5703125" style="3" bestFit="1" customWidth="1"/>
    <col min="6634" max="6880" width="9.140625" style="3"/>
    <col min="6881" max="6881" width="7.7109375" style="3" customWidth="1"/>
    <col min="6882" max="6882" width="59.42578125" style="3" customWidth="1"/>
    <col min="6883" max="6883" width="26.28515625" style="3" customWidth="1"/>
    <col min="6884" max="6886" width="0" style="3" hidden="1" customWidth="1"/>
    <col min="6887" max="6887" width="12.85546875" style="3" bestFit="1" customWidth="1"/>
    <col min="6888" max="6888" width="10.85546875" style="3" bestFit="1" customWidth="1"/>
    <col min="6889" max="6889" width="9.5703125" style="3" bestFit="1" customWidth="1"/>
    <col min="6890" max="7136" width="9.140625" style="3"/>
    <col min="7137" max="7137" width="7.7109375" style="3" customWidth="1"/>
    <col min="7138" max="7138" width="59.42578125" style="3" customWidth="1"/>
    <col min="7139" max="7139" width="26.28515625" style="3" customWidth="1"/>
    <col min="7140" max="7142" width="0" style="3" hidden="1" customWidth="1"/>
    <col min="7143" max="7143" width="12.85546875" style="3" bestFit="1" customWidth="1"/>
    <col min="7144" max="7144" width="10.85546875" style="3" bestFit="1" customWidth="1"/>
    <col min="7145" max="7145" width="9.5703125" style="3" bestFit="1" customWidth="1"/>
    <col min="7146" max="7392" width="9.140625" style="3"/>
    <col min="7393" max="7393" width="7.7109375" style="3" customWidth="1"/>
    <col min="7394" max="7394" width="59.42578125" style="3" customWidth="1"/>
    <col min="7395" max="7395" width="26.28515625" style="3" customWidth="1"/>
    <col min="7396" max="7398" width="0" style="3" hidden="1" customWidth="1"/>
    <col min="7399" max="7399" width="12.85546875" style="3" bestFit="1" customWidth="1"/>
    <col min="7400" max="7400" width="10.85546875" style="3" bestFit="1" customWidth="1"/>
    <col min="7401" max="7401" width="9.5703125" style="3" bestFit="1" customWidth="1"/>
    <col min="7402" max="7648" width="9.140625" style="3"/>
    <col min="7649" max="7649" width="7.7109375" style="3" customWidth="1"/>
    <col min="7650" max="7650" width="59.42578125" style="3" customWidth="1"/>
    <col min="7651" max="7651" width="26.28515625" style="3" customWidth="1"/>
    <col min="7652" max="7654" width="0" style="3" hidden="1" customWidth="1"/>
    <col min="7655" max="7655" width="12.85546875" style="3" bestFit="1" customWidth="1"/>
    <col min="7656" max="7656" width="10.85546875" style="3" bestFit="1" customWidth="1"/>
    <col min="7657" max="7657" width="9.5703125" style="3" bestFit="1" customWidth="1"/>
    <col min="7658" max="7904" width="9.140625" style="3"/>
    <col min="7905" max="7905" width="7.7109375" style="3" customWidth="1"/>
    <col min="7906" max="7906" width="59.42578125" style="3" customWidth="1"/>
    <col min="7907" max="7907" width="26.28515625" style="3" customWidth="1"/>
    <col min="7908" max="7910" width="0" style="3" hidden="1" customWidth="1"/>
    <col min="7911" max="7911" width="12.85546875" style="3" bestFit="1" customWidth="1"/>
    <col min="7912" max="7912" width="10.85546875" style="3" bestFit="1" customWidth="1"/>
    <col min="7913" max="7913" width="9.5703125" style="3" bestFit="1" customWidth="1"/>
    <col min="7914" max="8160" width="9.140625" style="3"/>
    <col min="8161" max="8161" width="7.7109375" style="3" customWidth="1"/>
    <col min="8162" max="8162" width="59.42578125" style="3" customWidth="1"/>
    <col min="8163" max="8163" width="26.28515625" style="3" customWidth="1"/>
    <col min="8164" max="8166" width="0" style="3" hidden="1" customWidth="1"/>
    <col min="8167" max="8167" width="12.85546875" style="3" bestFit="1" customWidth="1"/>
    <col min="8168" max="8168" width="10.85546875" style="3" bestFit="1" customWidth="1"/>
    <col min="8169" max="8169" width="9.5703125" style="3" bestFit="1" customWidth="1"/>
    <col min="8170" max="8416" width="9.140625" style="3"/>
    <col min="8417" max="8417" width="7.7109375" style="3" customWidth="1"/>
    <col min="8418" max="8418" width="59.42578125" style="3" customWidth="1"/>
    <col min="8419" max="8419" width="26.28515625" style="3" customWidth="1"/>
    <col min="8420" max="8422" width="0" style="3" hidden="1" customWidth="1"/>
    <col min="8423" max="8423" width="12.85546875" style="3" bestFit="1" customWidth="1"/>
    <col min="8424" max="8424" width="10.85546875" style="3" bestFit="1" customWidth="1"/>
    <col min="8425" max="8425" width="9.5703125" style="3" bestFit="1" customWidth="1"/>
    <col min="8426" max="8672" width="9.140625" style="3"/>
    <col min="8673" max="8673" width="7.7109375" style="3" customWidth="1"/>
    <col min="8674" max="8674" width="59.42578125" style="3" customWidth="1"/>
    <col min="8675" max="8675" width="26.28515625" style="3" customWidth="1"/>
    <col min="8676" max="8678" width="0" style="3" hidden="1" customWidth="1"/>
    <col min="8679" max="8679" width="12.85546875" style="3" bestFit="1" customWidth="1"/>
    <col min="8680" max="8680" width="10.85546875" style="3" bestFit="1" customWidth="1"/>
    <col min="8681" max="8681" width="9.5703125" style="3" bestFit="1" customWidth="1"/>
    <col min="8682" max="8928" width="9.140625" style="3"/>
    <col min="8929" max="8929" width="7.7109375" style="3" customWidth="1"/>
    <col min="8930" max="8930" width="59.42578125" style="3" customWidth="1"/>
    <col min="8931" max="8931" width="26.28515625" style="3" customWidth="1"/>
    <col min="8932" max="8934" width="0" style="3" hidden="1" customWidth="1"/>
    <col min="8935" max="8935" width="12.85546875" style="3" bestFit="1" customWidth="1"/>
    <col min="8936" max="8936" width="10.85546875" style="3" bestFit="1" customWidth="1"/>
    <col min="8937" max="8937" width="9.5703125" style="3" bestFit="1" customWidth="1"/>
    <col min="8938" max="9184" width="9.140625" style="3"/>
    <col min="9185" max="9185" width="7.7109375" style="3" customWidth="1"/>
    <col min="9186" max="9186" width="59.42578125" style="3" customWidth="1"/>
    <col min="9187" max="9187" width="26.28515625" style="3" customWidth="1"/>
    <col min="9188" max="9190" width="0" style="3" hidden="1" customWidth="1"/>
    <col min="9191" max="9191" width="12.85546875" style="3" bestFit="1" customWidth="1"/>
    <col min="9192" max="9192" width="10.85546875" style="3" bestFit="1" customWidth="1"/>
    <col min="9193" max="9193" width="9.5703125" style="3" bestFit="1" customWidth="1"/>
    <col min="9194" max="9440" width="9.140625" style="3"/>
    <col min="9441" max="9441" width="7.7109375" style="3" customWidth="1"/>
    <col min="9442" max="9442" width="59.42578125" style="3" customWidth="1"/>
    <col min="9443" max="9443" width="26.28515625" style="3" customWidth="1"/>
    <col min="9444" max="9446" width="0" style="3" hidden="1" customWidth="1"/>
    <col min="9447" max="9447" width="12.85546875" style="3" bestFit="1" customWidth="1"/>
    <col min="9448" max="9448" width="10.85546875" style="3" bestFit="1" customWidth="1"/>
    <col min="9449" max="9449" width="9.5703125" style="3" bestFit="1" customWidth="1"/>
    <col min="9450" max="9696" width="9.140625" style="3"/>
    <col min="9697" max="9697" width="7.7109375" style="3" customWidth="1"/>
    <col min="9698" max="9698" width="59.42578125" style="3" customWidth="1"/>
    <col min="9699" max="9699" width="26.28515625" style="3" customWidth="1"/>
    <col min="9700" max="9702" width="0" style="3" hidden="1" customWidth="1"/>
    <col min="9703" max="9703" width="12.85546875" style="3" bestFit="1" customWidth="1"/>
    <col min="9704" max="9704" width="10.85546875" style="3" bestFit="1" customWidth="1"/>
    <col min="9705" max="9705" width="9.5703125" style="3" bestFit="1" customWidth="1"/>
    <col min="9706" max="9952" width="9.140625" style="3"/>
    <col min="9953" max="9953" width="7.7109375" style="3" customWidth="1"/>
    <col min="9954" max="9954" width="59.42578125" style="3" customWidth="1"/>
    <col min="9955" max="9955" width="26.28515625" style="3" customWidth="1"/>
    <col min="9956" max="9958" width="0" style="3" hidden="1" customWidth="1"/>
    <col min="9959" max="9959" width="12.85546875" style="3" bestFit="1" customWidth="1"/>
    <col min="9960" max="9960" width="10.85546875" style="3" bestFit="1" customWidth="1"/>
    <col min="9961" max="9961" width="9.5703125" style="3" bestFit="1" customWidth="1"/>
    <col min="9962" max="10208" width="9.140625" style="3"/>
    <col min="10209" max="10209" width="7.7109375" style="3" customWidth="1"/>
    <col min="10210" max="10210" width="59.42578125" style="3" customWidth="1"/>
    <col min="10211" max="10211" width="26.28515625" style="3" customWidth="1"/>
    <col min="10212" max="10214" width="0" style="3" hidden="1" customWidth="1"/>
    <col min="10215" max="10215" width="12.85546875" style="3" bestFit="1" customWidth="1"/>
    <col min="10216" max="10216" width="10.85546875" style="3" bestFit="1" customWidth="1"/>
    <col min="10217" max="10217" width="9.5703125" style="3" bestFit="1" customWidth="1"/>
    <col min="10218" max="10464" width="9.140625" style="3"/>
    <col min="10465" max="10465" width="7.7109375" style="3" customWidth="1"/>
    <col min="10466" max="10466" width="59.42578125" style="3" customWidth="1"/>
    <col min="10467" max="10467" width="26.28515625" style="3" customWidth="1"/>
    <col min="10468" max="10470" width="0" style="3" hidden="1" customWidth="1"/>
    <col min="10471" max="10471" width="12.85546875" style="3" bestFit="1" customWidth="1"/>
    <col min="10472" max="10472" width="10.85546875" style="3" bestFit="1" customWidth="1"/>
    <col min="10473" max="10473" width="9.5703125" style="3" bestFit="1" customWidth="1"/>
    <col min="10474" max="10720" width="9.140625" style="3"/>
    <col min="10721" max="10721" width="7.7109375" style="3" customWidth="1"/>
    <col min="10722" max="10722" width="59.42578125" style="3" customWidth="1"/>
    <col min="10723" max="10723" width="26.28515625" style="3" customWidth="1"/>
    <col min="10724" max="10726" width="0" style="3" hidden="1" customWidth="1"/>
    <col min="10727" max="10727" width="12.85546875" style="3" bestFit="1" customWidth="1"/>
    <col min="10728" max="10728" width="10.85546875" style="3" bestFit="1" customWidth="1"/>
    <col min="10729" max="10729" width="9.5703125" style="3" bestFit="1" customWidth="1"/>
    <col min="10730" max="10976" width="9.140625" style="3"/>
    <col min="10977" max="10977" width="7.7109375" style="3" customWidth="1"/>
    <col min="10978" max="10978" width="59.42578125" style="3" customWidth="1"/>
    <col min="10979" max="10979" width="26.28515625" style="3" customWidth="1"/>
    <col min="10980" max="10982" width="0" style="3" hidden="1" customWidth="1"/>
    <col min="10983" max="10983" width="12.85546875" style="3" bestFit="1" customWidth="1"/>
    <col min="10984" max="10984" width="10.85546875" style="3" bestFit="1" customWidth="1"/>
    <col min="10985" max="10985" width="9.5703125" style="3" bestFit="1" customWidth="1"/>
    <col min="10986" max="11232" width="9.140625" style="3"/>
    <col min="11233" max="11233" width="7.7109375" style="3" customWidth="1"/>
    <col min="11234" max="11234" width="59.42578125" style="3" customWidth="1"/>
    <col min="11235" max="11235" width="26.28515625" style="3" customWidth="1"/>
    <col min="11236" max="11238" width="0" style="3" hidden="1" customWidth="1"/>
    <col min="11239" max="11239" width="12.85546875" style="3" bestFit="1" customWidth="1"/>
    <col min="11240" max="11240" width="10.85546875" style="3" bestFit="1" customWidth="1"/>
    <col min="11241" max="11241" width="9.5703125" style="3" bestFit="1" customWidth="1"/>
    <col min="11242" max="11488" width="9.140625" style="3"/>
    <col min="11489" max="11489" width="7.7109375" style="3" customWidth="1"/>
    <col min="11490" max="11490" width="59.42578125" style="3" customWidth="1"/>
    <col min="11491" max="11491" width="26.28515625" style="3" customWidth="1"/>
    <col min="11492" max="11494" width="0" style="3" hidden="1" customWidth="1"/>
    <col min="11495" max="11495" width="12.85546875" style="3" bestFit="1" customWidth="1"/>
    <col min="11496" max="11496" width="10.85546875" style="3" bestFit="1" customWidth="1"/>
    <col min="11497" max="11497" width="9.5703125" style="3" bestFit="1" customWidth="1"/>
    <col min="11498" max="11744" width="9.140625" style="3"/>
    <col min="11745" max="11745" width="7.7109375" style="3" customWidth="1"/>
    <col min="11746" max="11746" width="59.42578125" style="3" customWidth="1"/>
    <col min="11747" max="11747" width="26.28515625" style="3" customWidth="1"/>
    <col min="11748" max="11750" width="0" style="3" hidden="1" customWidth="1"/>
    <col min="11751" max="11751" width="12.85546875" style="3" bestFit="1" customWidth="1"/>
    <col min="11752" max="11752" width="10.85546875" style="3" bestFit="1" customWidth="1"/>
    <col min="11753" max="11753" width="9.5703125" style="3" bestFit="1" customWidth="1"/>
    <col min="11754" max="12000" width="9.140625" style="3"/>
    <col min="12001" max="12001" width="7.7109375" style="3" customWidth="1"/>
    <col min="12002" max="12002" width="59.42578125" style="3" customWidth="1"/>
    <col min="12003" max="12003" width="26.28515625" style="3" customWidth="1"/>
    <col min="12004" max="12006" width="0" style="3" hidden="1" customWidth="1"/>
    <col min="12007" max="12007" width="12.85546875" style="3" bestFit="1" customWidth="1"/>
    <col min="12008" max="12008" width="10.85546875" style="3" bestFit="1" customWidth="1"/>
    <col min="12009" max="12009" width="9.5703125" style="3" bestFit="1" customWidth="1"/>
    <col min="12010" max="12256" width="9.140625" style="3"/>
    <col min="12257" max="12257" width="7.7109375" style="3" customWidth="1"/>
    <col min="12258" max="12258" width="59.42578125" style="3" customWidth="1"/>
    <col min="12259" max="12259" width="26.28515625" style="3" customWidth="1"/>
    <col min="12260" max="12262" width="0" style="3" hidden="1" customWidth="1"/>
    <col min="12263" max="12263" width="12.85546875" style="3" bestFit="1" customWidth="1"/>
    <col min="12264" max="12264" width="10.85546875" style="3" bestFit="1" customWidth="1"/>
    <col min="12265" max="12265" width="9.5703125" style="3" bestFit="1" customWidth="1"/>
    <col min="12266" max="12512" width="9.140625" style="3"/>
    <col min="12513" max="12513" width="7.7109375" style="3" customWidth="1"/>
    <col min="12514" max="12514" width="59.42578125" style="3" customWidth="1"/>
    <col min="12515" max="12515" width="26.28515625" style="3" customWidth="1"/>
    <col min="12516" max="12518" width="0" style="3" hidden="1" customWidth="1"/>
    <col min="12519" max="12519" width="12.85546875" style="3" bestFit="1" customWidth="1"/>
    <col min="12520" max="12520" width="10.85546875" style="3" bestFit="1" customWidth="1"/>
    <col min="12521" max="12521" width="9.5703125" style="3" bestFit="1" customWidth="1"/>
    <col min="12522" max="12768" width="9.140625" style="3"/>
    <col min="12769" max="12769" width="7.7109375" style="3" customWidth="1"/>
    <col min="12770" max="12770" width="59.42578125" style="3" customWidth="1"/>
    <col min="12771" max="12771" width="26.28515625" style="3" customWidth="1"/>
    <col min="12772" max="12774" width="0" style="3" hidden="1" customWidth="1"/>
    <col min="12775" max="12775" width="12.85546875" style="3" bestFit="1" customWidth="1"/>
    <col min="12776" max="12776" width="10.85546875" style="3" bestFit="1" customWidth="1"/>
    <col min="12777" max="12777" width="9.5703125" style="3" bestFit="1" customWidth="1"/>
    <col min="12778" max="13024" width="9.140625" style="3"/>
    <col min="13025" max="13025" width="7.7109375" style="3" customWidth="1"/>
    <col min="13026" max="13026" width="59.42578125" style="3" customWidth="1"/>
    <col min="13027" max="13027" width="26.28515625" style="3" customWidth="1"/>
    <col min="13028" max="13030" width="0" style="3" hidden="1" customWidth="1"/>
    <col min="13031" max="13031" width="12.85546875" style="3" bestFit="1" customWidth="1"/>
    <col min="13032" max="13032" width="10.85546875" style="3" bestFit="1" customWidth="1"/>
    <col min="13033" max="13033" width="9.5703125" style="3" bestFit="1" customWidth="1"/>
    <col min="13034" max="13280" width="9.140625" style="3"/>
    <col min="13281" max="13281" width="7.7109375" style="3" customWidth="1"/>
    <col min="13282" max="13282" width="59.42578125" style="3" customWidth="1"/>
    <col min="13283" max="13283" width="26.28515625" style="3" customWidth="1"/>
    <col min="13284" max="13286" width="0" style="3" hidden="1" customWidth="1"/>
    <col min="13287" max="13287" width="12.85546875" style="3" bestFit="1" customWidth="1"/>
    <col min="13288" max="13288" width="10.85546875" style="3" bestFit="1" customWidth="1"/>
    <col min="13289" max="13289" width="9.5703125" style="3" bestFit="1" customWidth="1"/>
    <col min="13290" max="13536" width="9.140625" style="3"/>
    <col min="13537" max="13537" width="7.7109375" style="3" customWidth="1"/>
    <col min="13538" max="13538" width="59.42578125" style="3" customWidth="1"/>
    <col min="13539" max="13539" width="26.28515625" style="3" customWidth="1"/>
    <col min="13540" max="13542" width="0" style="3" hidden="1" customWidth="1"/>
    <col min="13543" max="13543" width="12.85546875" style="3" bestFit="1" customWidth="1"/>
    <col min="13544" max="13544" width="10.85546875" style="3" bestFit="1" customWidth="1"/>
    <col min="13545" max="13545" width="9.5703125" style="3" bestFit="1" customWidth="1"/>
    <col min="13546" max="13792" width="9.140625" style="3"/>
    <col min="13793" max="13793" width="7.7109375" style="3" customWidth="1"/>
    <col min="13794" max="13794" width="59.42578125" style="3" customWidth="1"/>
    <col min="13795" max="13795" width="26.28515625" style="3" customWidth="1"/>
    <col min="13796" max="13798" width="0" style="3" hidden="1" customWidth="1"/>
    <col min="13799" max="13799" width="12.85546875" style="3" bestFit="1" customWidth="1"/>
    <col min="13800" max="13800" width="10.85546875" style="3" bestFit="1" customWidth="1"/>
    <col min="13801" max="13801" width="9.5703125" style="3" bestFit="1" customWidth="1"/>
    <col min="13802" max="14048" width="9.140625" style="3"/>
    <col min="14049" max="14049" width="7.7109375" style="3" customWidth="1"/>
    <col min="14050" max="14050" width="59.42578125" style="3" customWidth="1"/>
    <col min="14051" max="14051" width="26.28515625" style="3" customWidth="1"/>
    <col min="14052" max="14054" width="0" style="3" hidden="1" customWidth="1"/>
    <col min="14055" max="14055" width="12.85546875" style="3" bestFit="1" customWidth="1"/>
    <col min="14056" max="14056" width="10.85546875" style="3" bestFit="1" customWidth="1"/>
    <col min="14057" max="14057" width="9.5703125" style="3" bestFit="1" customWidth="1"/>
    <col min="14058" max="14304" width="9.140625" style="3"/>
    <col min="14305" max="14305" width="7.7109375" style="3" customWidth="1"/>
    <col min="14306" max="14306" width="59.42578125" style="3" customWidth="1"/>
    <col min="14307" max="14307" width="26.28515625" style="3" customWidth="1"/>
    <col min="14308" max="14310" width="0" style="3" hidden="1" customWidth="1"/>
    <col min="14311" max="14311" width="12.85546875" style="3" bestFit="1" customWidth="1"/>
    <col min="14312" max="14312" width="10.85546875" style="3" bestFit="1" customWidth="1"/>
    <col min="14313" max="14313" width="9.5703125" style="3" bestFit="1" customWidth="1"/>
    <col min="14314" max="14560" width="9.140625" style="3"/>
    <col min="14561" max="14561" width="7.7109375" style="3" customWidth="1"/>
    <col min="14562" max="14562" width="59.42578125" style="3" customWidth="1"/>
    <col min="14563" max="14563" width="26.28515625" style="3" customWidth="1"/>
    <col min="14564" max="14566" width="0" style="3" hidden="1" customWidth="1"/>
    <col min="14567" max="14567" width="12.85546875" style="3" bestFit="1" customWidth="1"/>
    <col min="14568" max="14568" width="10.85546875" style="3" bestFit="1" customWidth="1"/>
    <col min="14569" max="14569" width="9.5703125" style="3" bestFit="1" customWidth="1"/>
    <col min="14570" max="14816" width="9.140625" style="3"/>
    <col min="14817" max="14817" width="7.7109375" style="3" customWidth="1"/>
    <col min="14818" max="14818" width="59.42578125" style="3" customWidth="1"/>
    <col min="14819" max="14819" width="26.28515625" style="3" customWidth="1"/>
    <col min="14820" max="14822" width="0" style="3" hidden="1" customWidth="1"/>
    <col min="14823" max="14823" width="12.85546875" style="3" bestFit="1" customWidth="1"/>
    <col min="14824" max="14824" width="10.85546875" style="3" bestFit="1" customWidth="1"/>
    <col min="14825" max="14825" width="9.5703125" style="3" bestFit="1" customWidth="1"/>
    <col min="14826" max="15072" width="9.140625" style="3"/>
    <col min="15073" max="15073" width="7.7109375" style="3" customWidth="1"/>
    <col min="15074" max="15074" width="59.42578125" style="3" customWidth="1"/>
    <col min="15075" max="15075" width="26.28515625" style="3" customWidth="1"/>
    <col min="15076" max="15078" width="0" style="3" hidden="1" customWidth="1"/>
    <col min="15079" max="15079" width="12.85546875" style="3" bestFit="1" customWidth="1"/>
    <col min="15080" max="15080" width="10.85546875" style="3" bestFit="1" customWidth="1"/>
    <col min="15081" max="15081" width="9.5703125" style="3" bestFit="1" customWidth="1"/>
    <col min="15082" max="15328" width="9.140625" style="3"/>
    <col min="15329" max="15329" width="7.7109375" style="3" customWidth="1"/>
    <col min="15330" max="15330" width="59.42578125" style="3" customWidth="1"/>
    <col min="15331" max="15331" width="26.28515625" style="3" customWidth="1"/>
    <col min="15332" max="15334" width="0" style="3" hidden="1" customWidth="1"/>
    <col min="15335" max="15335" width="12.85546875" style="3" bestFit="1" customWidth="1"/>
    <col min="15336" max="15336" width="10.85546875" style="3" bestFit="1" customWidth="1"/>
    <col min="15337" max="15337" width="9.5703125" style="3" bestFit="1" customWidth="1"/>
    <col min="15338" max="15584" width="9.140625" style="3"/>
    <col min="15585" max="15585" width="7.7109375" style="3" customWidth="1"/>
    <col min="15586" max="15586" width="59.42578125" style="3" customWidth="1"/>
    <col min="15587" max="15587" width="26.28515625" style="3" customWidth="1"/>
    <col min="15588" max="15590" width="0" style="3" hidden="1" customWidth="1"/>
    <col min="15591" max="15591" width="12.85546875" style="3" bestFit="1" customWidth="1"/>
    <col min="15592" max="15592" width="10.85546875" style="3" bestFit="1" customWidth="1"/>
    <col min="15593" max="15593" width="9.5703125" style="3" bestFit="1" customWidth="1"/>
    <col min="15594" max="15840" width="9.140625" style="3"/>
    <col min="15841" max="15841" width="7.7109375" style="3" customWidth="1"/>
    <col min="15842" max="15842" width="59.42578125" style="3" customWidth="1"/>
    <col min="15843" max="15843" width="26.28515625" style="3" customWidth="1"/>
    <col min="15844" max="15846" width="0" style="3" hidden="1" customWidth="1"/>
    <col min="15847" max="15847" width="12.85546875" style="3" bestFit="1" customWidth="1"/>
    <col min="15848" max="15848" width="10.85546875" style="3" bestFit="1" customWidth="1"/>
    <col min="15849" max="15849" width="9.5703125" style="3" bestFit="1" customWidth="1"/>
    <col min="15850" max="16096" width="9.140625" style="3"/>
    <col min="16097" max="16097" width="7.7109375" style="3" customWidth="1"/>
    <col min="16098" max="16098" width="59.42578125" style="3" customWidth="1"/>
    <col min="16099" max="16099" width="26.28515625" style="3" customWidth="1"/>
    <col min="16100" max="16102" width="0" style="3" hidden="1" customWidth="1"/>
    <col min="16103" max="16103" width="12.85546875" style="3" bestFit="1" customWidth="1"/>
    <col min="16104" max="16104" width="10.85546875" style="3" bestFit="1" customWidth="1"/>
    <col min="16105" max="16105" width="9.5703125" style="3" bestFit="1" customWidth="1"/>
    <col min="16106" max="16384" width="9.140625" style="3"/>
  </cols>
  <sheetData>
    <row r="1" spans="1:9" ht="9.75" customHeight="1" x14ac:dyDescent="0.2">
      <c r="C1" s="406" t="s">
        <v>1183</v>
      </c>
      <c r="D1" s="407"/>
    </row>
    <row r="2" spans="1:9" ht="60.75" customHeight="1" x14ac:dyDescent="0.25">
      <c r="A2" s="308"/>
      <c r="B2" s="43"/>
      <c r="C2" s="498" t="s">
        <v>1218</v>
      </c>
      <c r="D2" s="498"/>
      <c r="E2" s="498"/>
    </row>
    <row r="3" spans="1:9" ht="15.75" x14ac:dyDescent="0.25">
      <c r="A3" s="308"/>
      <c r="B3" s="513"/>
      <c r="C3" s="513"/>
      <c r="D3" s="408"/>
    </row>
    <row r="4" spans="1:9" ht="38.25" customHeight="1" x14ac:dyDescent="0.2">
      <c r="A4" s="514" t="s">
        <v>1222</v>
      </c>
      <c r="B4" s="514"/>
      <c r="C4" s="514"/>
      <c r="D4" s="514"/>
    </row>
    <row r="5" spans="1:9" x14ac:dyDescent="0.2">
      <c r="A5" s="310"/>
      <c r="B5" s="311"/>
      <c r="C5" s="312" t="s">
        <v>549</v>
      </c>
      <c r="D5" s="312" t="s">
        <v>549</v>
      </c>
    </row>
    <row r="6" spans="1:9" ht="25.5" x14ac:dyDescent="0.2">
      <c r="A6" s="313" t="s">
        <v>964</v>
      </c>
      <c r="B6" s="314" t="s">
        <v>672</v>
      </c>
      <c r="C6" s="314" t="s">
        <v>1171</v>
      </c>
      <c r="D6" s="314" t="s">
        <v>965</v>
      </c>
      <c r="G6" s="409"/>
      <c r="H6" s="409"/>
    </row>
    <row r="7" spans="1:9" ht="25.5" x14ac:dyDescent="0.2">
      <c r="A7" s="315" t="s">
        <v>190</v>
      </c>
      <c r="B7" s="316" t="s">
        <v>969</v>
      </c>
      <c r="C7" s="418">
        <v>6371.8</v>
      </c>
      <c r="D7" s="318">
        <f>'[1]11 вед'!AD753+'[1]11 вед'!AD1777+'[1]11 вед'!AD1839+'[1]11 вед'!AD1842</f>
        <v>0</v>
      </c>
      <c r="E7" s="410">
        <f>C7/$C12*100</f>
        <v>0.63603241307740854</v>
      </c>
      <c r="F7" s="410">
        <f>D7/$C12*100</f>
        <v>0</v>
      </c>
      <c r="G7" s="317">
        <f>C7/C12*100</f>
        <v>0.63603241307740854</v>
      </c>
      <c r="H7" s="411"/>
    </row>
    <row r="8" spans="1:9" ht="25.5" x14ac:dyDescent="0.2">
      <c r="A8" s="315" t="s">
        <v>192</v>
      </c>
      <c r="B8" s="37" t="s">
        <v>970</v>
      </c>
      <c r="C8" s="419">
        <v>795283.18525600003</v>
      </c>
      <c r="D8" s="318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0">
        <f>C8/$C12*100</f>
        <v>79.3850848109265</v>
      </c>
      <c r="F8" s="410" t="e">
        <f>D8/$C12*100</f>
        <v>#VALUE!</v>
      </c>
      <c r="G8" s="409">
        <f>C8/C12*100</f>
        <v>79.3850848109265</v>
      </c>
      <c r="H8" s="411"/>
    </row>
    <row r="9" spans="1:9" ht="25.5" x14ac:dyDescent="0.2">
      <c r="A9" s="315" t="s">
        <v>194</v>
      </c>
      <c r="B9" s="37" t="s">
        <v>971</v>
      </c>
      <c r="C9" s="424">
        <v>65872.22</v>
      </c>
      <c r="D9" s="318">
        <f>'[1]11 вед'!AD785+'[1]11 вед'!AD802+'[1]11 вед'!AD970+'[1]11 вед'!AD1470+'[1]11 вед'!AD1845+'[1]11 вед'!AD1274</f>
        <v>0</v>
      </c>
      <c r="E9" s="410">
        <f>C9/C12*100</f>
        <v>6.5753581470488616</v>
      </c>
      <c r="F9" s="410" t="e">
        <f>D9/D12*100</f>
        <v>#VALUE!</v>
      </c>
      <c r="G9" s="409">
        <f>C9/C12*100</f>
        <v>6.5753581470488616</v>
      </c>
      <c r="H9" s="411"/>
    </row>
    <row r="10" spans="1:9" ht="25.5" x14ac:dyDescent="0.2">
      <c r="A10" s="315" t="s">
        <v>196</v>
      </c>
      <c r="B10" s="37" t="s">
        <v>972</v>
      </c>
      <c r="C10" s="419">
        <v>79422.769243999996</v>
      </c>
      <c r="D10" s="318" t="e">
        <f>'[1]11 вед'!AD409+'[1]11 вед'!AD1619+'[1]11 вед'!AD1739+'[1]11 вед'!AD1810+'[1]11 вед'!AD1849+'[1]11 вед'!AD1917+'[1]11 вед'!AD1915</f>
        <v>#VALUE!</v>
      </c>
      <c r="E10" s="410">
        <f>C10/C12*100</f>
        <v>7.9279725627846922</v>
      </c>
      <c r="F10" s="410" t="e">
        <f>D10/D12*100</f>
        <v>#VALUE!</v>
      </c>
      <c r="G10" s="409">
        <f>C10/C12*100</f>
        <v>7.9279725627846922</v>
      </c>
      <c r="H10" s="411"/>
    </row>
    <row r="11" spans="1:9" x14ac:dyDescent="0.2">
      <c r="A11" s="315"/>
      <c r="B11" s="37" t="s">
        <v>695</v>
      </c>
      <c r="C11" s="419">
        <v>54854.315500000062</v>
      </c>
      <c r="D11" s="318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0">
        <f>C11/C12*100</f>
        <v>5.4755520661625496</v>
      </c>
      <c r="F11" s="410" t="e">
        <f>D11/D12*100</f>
        <v>#VALUE!</v>
      </c>
      <c r="G11" s="409">
        <f>C11/C12*100</f>
        <v>5.4755520661625496</v>
      </c>
      <c r="H11" s="411"/>
    </row>
    <row r="12" spans="1:9" x14ac:dyDescent="0.2">
      <c r="A12" s="320"/>
      <c r="B12" s="320" t="s">
        <v>673</v>
      </c>
      <c r="C12" s="354">
        <f>C7+C8+C9+C10+C11</f>
        <v>1001804.29</v>
      </c>
      <c r="D12" s="321" t="e">
        <f>D7+D8+D9+D10+D11</f>
        <v>#VALUE!</v>
      </c>
      <c r="E12" s="321">
        <f>E7+E8+E9+E10+E11</f>
        <v>100</v>
      </c>
      <c r="F12" s="322" t="e">
        <f>F7+F8+F9+F10+F11</f>
        <v>#VALUE!</v>
      </c>
      <c r="G12" s="323" t="e">
        <f>SUM(#REF!)</f>
        <v>#REF!</v>
      </c>
      <c r="H12" s="409" t="e">
        <f>#REF!-#REF!</f>
        <v>#REF!</v>
      </c>
      <c r="I12" s="409"/>
    </row>
  </sheetData>
  <mergeCells count="3">
    <mergeCell ref="B3:C3"/>
    <mergeCell ref="A4:D4"/>
    <mergeCell ref="C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110" zoomScaleNormal="100" zoomScaleSheetLayoutView="110" workbookViewId="0">
      <selection activeCell="B26" sqref="B26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6" t="s">
        <v>716</v>
      </c>
      <c r="E1" s="307"/>
    </row>
    <row r="2" spans="1:7" ht="57" customHeight="1" x14ac:dyDescent="0.25">
      <c r="A2" s="308"/>
      <c r="B2" s="43"/>
      <c r="C2" s="471" t="s">
        <v>1218</v>
      </c>
      <c r="D2" s="471"/>
      <c r="E2" s="43"/>
    </row>
    <row r="3" spans="1:7" ht="15.75" x14ac:dyDescent="0.25">
      <c r="A3" s="308"/>
      <c r="B3" s="513"/>
      <c r="C3" s="513"/>
      <c r="D3" s="513"/>
      <c r="E3" s="309"/>
    </row>
    <row r="4" spans="1:7" ht="38.25" customHeight="1" x14ac:dyDescent="0.2">
      <c r="A4" s="514" t="s">
        <v>1223</v>
      </c>
      <c r="B4" s="514"/>
      <c r="C4" s="514"/>
      <c r="D4" s="514"/>
      <c r="E4" s="514"/>
    </row>
    <row r="5" spans="1:7" s="57" customFormat="1" x14ac:dyDescent="0.2">
      <c r="A5" s="310"/>
      <c r="B5" s="311"/>
      <c r="C5" s="311"/>
      <c r="D5" s="312" t="s">
        <v>549</v>
      </c>
      <c r="E5" s="312" t="s">
        <v>549</v>
      </c>
    </row>
    <row r="6" spans="1:7" s="57" customFormat="1" ht="25.5" x14ac:dyDescent="0.2">
      <c r="A6" s="313" t="s">
        <v>964</v>
      </c>
      <c r="B6" s="314" t="s">
        <v>672</v>
      </c>
      <c r="C6" s="314" t="s">
        <v>1188</v>
      </c>
      <c r="D6" s="314" t="s">
        <v>1224</v>
      </c>
      <c r="E6" s="314" t="s">
        <v>965</v>
      </c>
    </row>
    <row r="7" spans="1:7" s="57" customFormat="1" ht="25.5" x14ac:dyDescent="0.2">
      <c r="A7" s="315" t="s">
        <v>190</v>
      </c>
      <c r="B7" s="316" t="s">
        <v>969</v>
      </c>
      <c r="C7" s="419">
        <v>5784.8</v>
      </c>
      <c r="D7" s="419">
        <v>5784.8</v>
      </c>
      <c r="E7" s="318">
        <f>'[1]11 вед'!AD753+'[1]11 вед'!AD1777+'[1]11 вед'!AD1839+'[1]11 вед'!AD1842</f>
        <v>0</v>
      </c>
      <c r="F7" s="240">
        <f>D7/$D12*100</f>
        <v>0.7525707495732159</v>
      </c>
      <c r="G7" s="240">
        <f>E7/$D12*100</f>
        <v>0</v>
      </c>
    </row>
    <row r="8" spans="1:7" s="57" customFormat="1" ht="25.5" x14ac:dyDescent="0.2">
      <c r="A8" s="315" t="s">
        <v>192</v>
      </c>
      <c r="B8" s="37" t="s">
        <v>970</v>
      </c>
      <c r="C8" s="419">
        <v>546194.88274399983</v>
      </c>
      <c r="D8" s="419">
        <v>583708.02999999991</v>
      </c>
      <c r="E8" s="318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0">
        <f>D8/$D12*100</f>
        <v>75.937212983855119</v>
      </c>
      <c r="G8" s="240" t="e">
        <f>E8/$D12*100</f>
        <v>#VALUE!</v>
      </c>
    </row>
    <row r="9" spans="1:7" s="57" customFormat="1" ht="25.5" x14ac:dyDescent="0.2">
      <c r="A9" s="315" t="s">
        <v>194</v>
      </c>
      <c r="B9" s="37" t="s">
        <v>971</v>
      </c>
      <c r="C9" s="419">
        <v>49795.9</v>
      </c>
      <c r="D9" s="419">
        <v>49537.9</v>
      </c>
      <c r="E9" s="318">
        <f>'[1]11 вед'!AD785+'[1]11 вед'!AD802+'[1]11 вед'!AD970+'[1]11 вед'!AD1470+'[1]11 вед'!AD1845+'[1]11 вед'!AD1274</f>
        <v>0</v>
      </c>
      <c r="F9" s="240">
        <f>D9/D12*100</f>
        <v>6.4446090677781456</v>
      </c>
      <c r="G9" s="240" t="e">
        <f>E9/E12*100</f>
        <v>#VALUE!</v>
      </c>
    </row>
    <row r="10" spans="1:7" s="57" customFormat="1" ht="25.5" x14ac:dyDescent="0.2">
      <c r="A10" s="315" t="s">
        <v>196</v>
      </c>
      <c r="B10" s="37" t="s">
        <v>972</v>
      </c>
      <c r="C10" s="419">
        <v>64838.7</v>
      </c>
      <c r="D10" s="419">
        <v>65332.289999999994</v>
      </c>
      <c r="E10" s="318" t="e">
        <f>'[1]11 вед'!AD409+'[1]11 вед'!AD1619+'[1]11 вед'!AD1739+'[1]11 вед'!AD1810+'[1]11 вед'!AD1849+'[1]11 вед'!AD1917+'[1]11 вед'!AD1915</f>
        <v>#VALUE!</v>
      </c>
      <c r="F10" s="240">
        <f>D10/D12*100</f>
        <v>8.4993725723680527</v>
      </c>
      <c r="G10" s="240" t="e">
        <f>E10/E12*100</f>
        <v>#VALUE!</v>
      </c>
    </row>
    <row r="11" spans="1:7" s="57" customFormat="1" x14ac:dyDescent="0.2">
      <c r="A11" s="315"/>
      <c r="B11" s="37" t="s">
        <v>695</v>
      </c>
      <c r="C11" s="419">
        <v>55722.892999999967</v>
      </c>
      <c r="D11" s="419">
        <v>64308.896000000008</v>
      </c>
      <c r="E11" s="318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0">
        <f>D11/D12*100</f>
        <v>8.3662346264254577</v>
      </c>
      <c r="G11" s="240" t="e">
        <f>E11/E12*100</f>
        <v>#VALUE!</v>
      </c>
    </row>
    <row r="12" spans="1:7" s="57" customFormat="1" x14ac:dyDescent="0.2">
      <c r="A12" s="319"/>
      <c r="B12" s="320" t="s">
        <v>673</v>
      </c>
      <c r="C12" s="354">
        <f>C7+C8+C9+C10+C11</f>
        <v>722337.17574399977</v>
      </c>
      <c r="D12" s="354">
        <f>D7+D8+D9+D10+D11</f>
        <v>768671.91599999997</v>
      </c>
      <c r="E12" s="321" t="e">
        <f>E7+E8+E9+E10+E11</f>
        <v>#VALUE!</v>
      </c>
      <c r="F12" s="321">
        <f>F7+F8+F9+F10+F11</f>
        <v>99.999999999999986</v>
      </c>
      <c r="G12" s="322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48" zoomScaleNormal="100" workbookViewId="0">
      <selection activeCell="A15" sqref="A15:XFD15"/>
    </sheetView>
  </sheetViews>
  <sheetFormatPr defaultRowHeight="12.75" x14ac:dyDescent="0.2"/>
  <cols>
    <col min="1" max="1" width="79.140625" style="1" customWidth="1"/>
    <col min="2" max="2" width="9.140625" style="120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09" t="s">
        <v>962</v>
      </c>
      <c r="E1" s="209" t="s">
        <v>718</v>
      </c>
    </row>
    <row r="2" spans="1:6" ht="50.25" customHeight="1" x14ac:dyDescent="0.2">
      <c r="B2" s="471" t="s">
        <v>1218</v>
      </c>
      <c r="C2" s="471"/>
      <c r="D2" s="471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5" t="s">
        <v>1225</v>
      </c>
      <c r="B4" s="515"/>
      <c r="C4" s="515"/>
      <c r="D4" s="515"/>
      <c r="E4" s="515"/>
      <c r="F4" s="151"/>
    </row>
    <row r="5" spans="1:6" s="52" customFormat="1" ht="18.75" x14ac:dyDescent="0.3">
      <c r="A5" s="100"/>
      <c r="B5" s="147"/>
      <c r="C5" s="100"/>
      <c r="D5" s="499" t="s">
        <v>549</v>
      </c>
      <c r="E5" s="499"/>
      <c r="F5" s="151"/>
    </row>
    <row r="6" spans="1:6" s="152" customFormat="1" ht="53.25" customHeight="1" x14ac:dyDescent="0.2">
      <c r="A6" s="38" t="s">
        <v>187</v>
      </c>
      <c r="B6" s="38" t="s">
        <v>601</v>
      </c>
      <c r="C6" s="38" t="s">
        <v>1189</v>
      </c>
      <c r="D6" s="38" t="s">
        <v>1170</v>
      </c>
      <c r="E6" s="38" t="s">
        <v>686</v>
      </c>
    </row>
    <row r="7" spans="1:6" s="6" customFormat="1" ht="15.75" x14ac:dyDescent="0.2">
      <c r="A7" s="38">
        <v>1</v>
      </c>
      <c r="B7" s="148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3"/>
      <c r="C8" s="149"/>
      <c r="D8" s="154"/>
      <c r="E8" s="9"/>
    </row>
    <row r="9" spans="1:6" s="204" customFormat="1" ht="18.75" x14ac:dyDescent="0.3">
      <c r="A9" s="41" t="s">
        <v>189</v>
      </c>
      <c r="B9" s="36" t="s">
        <v>602</v>
      </c>
      <c r="C9" s="212">
        <f>C10+C11+C12+C13+C14+C15+C16+C17</f>
        <v>6783.12</v>
      </c>
      <c r="D9" s="212">
        <f>D10+D11+D12+D13+D14+D15+D16+D17</f>
        <v>73837.740000000078</v>
      </c>
      <c r="E9" s="205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6">
        <f>'11 Вед'!Y520</f>
        <v>0</v>
      </c>
      <c r="D10" s="206">
        <f>'11 Вед'!Z520</f>
        <v>2083</v>
      </c>
      <c r="E10" s="206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6">
        <f>'11 Вед'!Y468</f>
        <v>1072</v>
      </c>
      <c r="D11" s="206">
        <f>'11 Вед'!Z468</f>
        <v>5576</v>
      </c>
      <c r="E11" s="206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6">
        <f>'11 Вед'!Y336+'11 Вед'!Y531</f>
        <v>3949.7</v>
      </c>
      <c r="D12" s="206">
        <f>'11 Вед'!Z336+'11 Вед'!Z531</f>
        <v>24049.300000000003</v>
      </c>
      <c r="E12" s="206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6">
        <f>'11 Вед'!Y589</f>
        <v>3.4</v>
      </c>
      <c r="D13" s="206">
        <f>'11 Вед'!Z589</f>
        <v>4.8</v>
      </c>
      <c r="E13" s="206"/>
    </row>
    <row r="14" spans="1:6" s="44" customFormat="1" ht="25.5" x14ac:dyDescent="0.3">
      <c r="A14" s="31" t="s">
        <v>199</v>
      </c>
      <c r="B14" s="33" t="s">
        <v>606</v>
      </c>
      <c r="C14" s="206">
        <f>'11 Вед'!Y505+'11 Вед'!Y365</f>
        <v>730</v>
      </c>
      <c r="D14" s="206">
        <f>'11 Вед'!Z505+'11 Вед'!Z365</f>
        <v>7483.6</v>
      </c>
      <c r="E14" s="206" t="e">
        <f>'2018'!#REF!+'2018'!#REF!</f>
        <v>#REF!</v>
      </c>
    </row>
    <row r="15" spans="1:6" s="44" customFormat="1" ht="18.75" hidden="1" x14ac:dyDescent="0.3">
      <c r="A15" s="31" t="s">
        <v>201</v>
      </c>
      <c r="B15" s="33" t="s">
        <v>607</v>
      </c>
      <c r="C15" s="206">
        <f>'11 Вед'!Y593</f>
        <v>0</v>
      </c>
      <c r="D15" s="206">
        <f>'11 Вед'!Z593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6">
        <f>'11 Вед'!Y596</f>
        <v>0</v>
      </c>
      <c r="D16" s="206">
        <f>'11 Вед'!Z596</f>
        <v>2650</v>
      </c>
      <c r="E16" s="206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6">
        <f>'11 Вед'!Y601+'11 Вед'!Y406</f>
        <v>1028.0200000000002</v>
      </c>
      <c r="D17" s="206">
        <f>'11 Вед'!Z601+'11 Вед'!Z406</f>
        <v>31991.040000000066</v>
      </c>
      <c r="E17" s="206" t="e">
        <f>'2018'!#REF!+'2018'!#REF!</f>
        <v>#REF!</v>
      </c>
    </row>
    <row r="18" spans="1:5" s="204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6">
        <f>'11 Вед'!Y432</f>
        <v>0</v>
      </c>
      <c r="D19" s="206">
        <f>'11 Вед'!Z432</f>
        <v>0</v>
      </c>
      <c r="E19" s="206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49"/>
      <c r="D20" s="149"/>
      <c r="E20" s="9"/>
    </row>
    <row r="21" spans="1:5" s="204" customFormat="1" ht="18.75" x14ac:dyDescent="0.3">
      <c r="A21" s="41" t="s">
        <v>210</v>
      </c>
      <c r="B21" s="36" t="s">
        <v>613</v>
      </c>
      <c r="C21" s="207">
        <f>C24+C25+C26</f>
        <v>1030</v>
      </c>
      <c r="D21" s="207">
        <f>D24+D25+D26</f>
        <v>8011</v>
      </c>
      <c r="E21" s="207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49"/>
      <c r="D22" s="149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49"/>
      <c r="D23" s="149"/>
      <c r="E23" s="9"/>
    </row>
    <row r="24" spans="1:5" s="44" customFormat="1" ht="18.75" x14ac:dyDescent="0.3">
      <c r="A24" s="31" t="s">
        <v>1165</v>
      </c>
      <c r="B24" s="33" t="s">
        <v>618</v>
      </c>
      <c r="C24" s="206">
        <f>'11 Вед'!Y670</f>
        <v>-6981</v>
      </c>
      <c r="D24" s="206">
        <f>'11 Вед'!Z670</f>
        <v>0</v>
      </c>
      <c r="E24" s="206" t="e">
        <f>'2018'!#REF!</f>
        <v>#REF!</v>
      </c>
    </row>
    <row r="25" spans="1:5" s="414" customFormat="1" ht="21" customHeight="1" x14ac:dyDescent="0.2">
      <c r="A25" s="31" t="s">
        <v>213</v>
      </c>
      <c r="B25" s="11" t="s">
        <v>619</v>
      </c>
      <c r="C25" s="206">
        <f>'11 Вед'!Y711</f>
        <v>7941</v>
      </c>
      <c r="D25" s="206">
        <f>'11 Вед'!Z711</f>
        <v>7941</v>
      </c>
      <c r="E25" s="413"/>
    </row>
    <row r="26" spans="1:5" s="44" customFormat="1" ht="18.75" x14ac:dyDescent="0.3">
      <c r="A26" s="31" t="s">
        <v>48</v>
      </c>
      <c r="B26" s="33" t="s">
        <v>620</v>
      </c>
      <c r="C26" s="206">
        <f>'11 Вед'!Y721</f>
        <v>70</v>
      </c>
      <c r="D26" s="206">
        <f>'11 Вед'!Z721</f>
        <v>70</v>
      </c>
      <c r="E26" s="9"/>
    </row>
    <row r="27" spans="1:5" s="204" customFormat="1" ht="18.75" x14ac:dyDescent="0.3">
      <c r="A27" s="41" t="s">
        <v>215</v>
      </c>
      <c r="B27" s="36" t="s">
        <v>621</v>
      </c>
      <c r="C27" s="207">
        <f>C28+C32+C34+C29</f>
        <v>3711.81</v>
      </c>
      <c r="D27" s="207">
        <f>D28+D32+D34+D29</f>
        <v>23657.719244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6">
        <f>'11 Вед'!Y727</f>
        <v>355.6</v>
      </c>
      <c r="D28" s="206">
        <f>'11 Вед'!Z727</f>
        <v>3585.4</v>
      </c>
      <c r="E28" s="206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06">
        <f>'11 Вед'!Y762</f>
        <v>0</v>
      </c>
      <c r="D29" s="206">
        <f>'11 Вед'!Z762</f>
        <v>0</v>
      </c>
      <c r="E29" s="206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49"/>
      <c r="D30" s="149"/>
      <c r="E30" s="9"/>
    </row>
    <row r="31" spans="1:5" s="44" customFormat="1" ht="18.75" hidden="1" x14ac:dyDescent="0.3">
      <c r="A31" s="31" t="s">
        <v>38</v>
      </c>
      <c r="B31" s="33" t="s">
        <v>625</v>
      </c>
      <c r="C31" s="149"/>
      <c r="D31" s="149"/>
      <c r="E31" s="9"/>
    </row>
    <row r="32" spans="1:5" s="44" customFormat="1" ht="18.75" x14ac:dyDescent="0.3">
      <c r="A32" s="31" t="s">
        <v>374</v>
      </c>
      <c r="B32" s="33" t="s">
        <v>626</v>
      </c>
      <c r="C32" s="206">
        <f>'11 Вед'!Y764+'11 Вед'!Y439</f>
        <v>3735.81</v>
      </c>
      <c r="D32" s="206">
        <f>'11 Вед'!Z764+'11 Вед'!Z439</f>
        <v>13997.919243999999</v>
      </c>
      <c r="E32" s="206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6"/>
      <c r="D33" s="206"/>
      <c r="E33" s="206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6">
        <f>'11 Вед'!Y414+'11 Вед'!Y768</f>
        <v>-379.6</v>
      </c>
      <c r="D34" s="206">
        <f>'11 Вед'!Z414+'11 Вед'!Z768</f>
        <v>6074.4</v>
      </c>
      <c r="E34" s="206" t="e">
        <f>'2018'!#REF!</f>
        <v>#REF!</v>
      </c>
    </row>
    <row r="35" spans="1:5" s="204" customFormat="1" ht="18.75" x14ac:dyDescent="0.3">
      <c r="A35" s="41" t="s">
        <v>221</v>
      </c>
      <c r="B35" s="36" t="s">
        <v>629</v>
      </c>
      <c r="C35" s="207">
        <f>C36+C37+C38</f>
        <v>24256.1</v>
      </c>
      <c r="D35" s="207">
        <f>D36+D37+D38</f>
        <v>55249.2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6">
        <f>'11 Вед'!Y794</f>
        <v>9917.2999999999993</v>
      </c>
      <c r="D36" s="206">
        <f>'11 Вед'!Z794</f>
        <v>9917.2999999999993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6">
        <f>'11 Вед'!Y803</f>
        <v>14338.8</v>
      </c>
      <c r="D37" s="206">
        <f>'11 Вед'!Z803</f>
        <v>45331.899999999994</v>
      </c>
      <c r="E37" s="206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6">
        <f>'11 Вед'!Y843</f>
        <v>0</v>
      </c>
      <c r="D38" s="206">
        <f>'11 Вед'!Z843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49"/>
      <c r="D39" s="149"/>
      <c r="E39" s="9"/>
    </row>
    <row r="40" spans="1:5" s="204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49"/>
      <c r="D41" s="149"/>
      <c r="E41" s="9"/>
    </row>
    <row r="42" spans="1:5" s="204" customFormat="1" ht="18.75" x14ac:dyDescent="0.3">
      <c r="A42" s="41" t="s">
        <v>226</v>
      </c>
      <c r="B42" s="36" t="s">
        <v>637</v>
      </c>
      <c r="C42" s="207">
        <f>C43+C44+C45+C46+C47</f>
        <v>245440.92</v>
      </c>
      <c r="D42" s="207">
        <f>D43+D44+D45+D46+D47</f>
        <v>684388.76725600008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6">
        <f>'11 Вед'!Y130</f>
        <v>64704.72</v>
      </c>
      <c r="D43" s="206">
        <f>'11 Вед'!Z130</f>
        <v>137591.39999999985</v>
      </c>
      <c r="E43" s="206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6">
        <f>'11 Вед'!Y160+'11 Вед'!Y850</f>
        <v>181082.47</v>
      </c>
      <c r="D44" s="206">
        <f>'11 Вед'!Z160+'11 Вед'!Z850</f>
        <v>470886.10725600016</v>
      </c>
      <c r="E44" s="206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6">
        <f>'11 Вед'!Y16+'11 Вед'!Y218</f>
        <v>-10307.209999999999</v>
      </c>
      <c r="D45" s="206">
        <f>'11 Вед'!Z16+'11 Вед'!Z218</f>
        <v>42568.79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6">
        <f>'11 Вед'!Y245+'11 Вед'!Y31</f>
        <v>-2918.9</v>
      </c>
      <c r="D46" s="206">
        <f>'11 Вед'!Z245+'11 Вед'!Z31</f>
        <v>60</v>
      </c>
      <c r="E46" s="206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6">
        <f>'11 Вед'!Y255</f>
        <v>12879.840000000002</v>
      </c>
      <c r="D47" s="206">
        <f>'11 Вед'!Z255</f>
        <v>33282.47</v>
      </c>
      <c r="E47" s="206" t="e">
        <f>'2018'!#REF!</f>
        <v>#REF!</v>
      </c>
    </row>
    <row r="48" spans="1:5" s="204" customFormat="1" ht="18.75" x14ac:dyDescent="0.3">
      <c r="A48" s="41" t="s">
        <v>232</v>
      </c>
      <c r="B48" s="36" t="s">
        <v>642</v>
      </c>
      <c r="C48" s="207">
        <f>C49+C50</f>
        <v>-21691.510000000006</v>
      </c>
      <c r="D48" s="207">
        <f>D49+D50</f>
        <v>62828.697999999997</v>
      </c>
      <c r="E48" s="207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6">
        <f>'11 Вед'!Y37</f>
        <v>-21696.510000000006</v>
      </c>
      <c r="D49" s="206">
        <f>'11 Вед'!Z37</f>
        <v>49777.697999999997</v>
      </c>
      <c r="E49" s="206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6">
        <f>'11 Вед'!Y68</f>
        <v>5</v>
      </c>
      <c r="D50" s="206">
        <f>'11 Вед'!Z68</f>
        <v>13051</v>
      </c>
      <c r="E50" s="206" t="e">
        <f>'2018'!#REF!</f>
        <v>#REF!</v>
      </c>
    </row>
    <row r="51" spans="1:5" s="204" customFormat="1" ht="22.5" customHeight="1" x14ac:dyDescent="0.3">
      <c r="A51" s="41" t="s">
        <v>274</v>
      </c>
      <c r="B51" s="36" t="s">
        <v>646</v>
      </c>
      <c r="C51" s="207">
        <f>C52+C54+C55</f>
        <v>-4262.67</v>
      </c>
      <c r="D51" s="207">
        <f>D52+D54+D55</f>
        <v>10225</v>
      </c>
      <c r="E51" s="207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6">
        <f>'11 Вед'!Y853</f>
        <v>275</v>
      </c>
      <c r="D52" s="206">
        <f>'11 Вед'!Z853</f>
        <v>695</v>
      </c>
      <c r="E52" s="206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49"/>
      <c r="D53" s="149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6">
        <f>'11 Вед'!Y857</f>
        <v>-1618.4699999999998</v>
      </c>
      <c r="D54" s="206">
        <f>'11 Вед'!Z857</f>
        <v>2509.9</v>
      </c>
      <c r="E54" s="206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6">
        <f>'11 Вед'!Y313+'11 Вед'!Y100</f>
        <v>-2919.2</v>
      </c>
      <c r="D55" s="206">
        <f>'11 Вед'!Z313+'11 Вед'!Z100</f>
        <v>7020.1</v>
      </c>
      <c r="E55" s="206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6">
        <f>'2018'!M983</f>
        <v>0</v>
      </c>
      <c r="D56" s="206">
        <v>0</v>
      </c>
      <c r="E56" s="206" t="e">
        <f>'2018'!#REF!</f>
        <v>#REF!</v>
      </c>
    </row>
    <row r="57" spans="1:5" s="204" customFormat="1" ht="18.75" x14ac:dyDescent="0.3">
      <c r="A57" s="41" t="s">
        <v>653</v>
      </c>
      <c r="B57" s="36" t="s">
        <v>654</v>
      </c>
      <c r="C57" s="207">
        <f>C58+C59+C60</f>
        <v>30672.47</v>
      </c>
      <c r="D57" s="207">
        <f t="shared" ref="D57:E57" si="0">D58+D59+D60</f>
        <v>31172.47</v>
      </c>
      <c r="E57" s="207" t="e">
        <f t="shared" si="0"/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6">
        <f>'11 Вед'!Y107</f>
        <v>0</v>
      </c>
      <c r="D58" s="206">
        <f>'11 Вед'!Z107</f>
        <v>0</v>
      </c>
      <c r="E58" s="206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6">
        <f>'11 Вед'!Y106</f>
        <v>0</v>
      </c>
      <c r="D59" s="206">
        <f>'11 Вед'!Z106</f>
        <v>500</v>
      </c>
      <c r="E59" s="9"/>
    </row>
    <row r="60" spans="1:5" s="44" customFormat="1" ht="19.5" customHeight="1" x14ac:dyDescent="0.3">
      <c r="A60" s="31" t="s">
        <v>143</v>
      </c>
      <c r="B60" s="33" t="s">
        <v>658</v>
      </c>
      <c r="C60" s="206">
        <f>'11 Вед'!Y319</f>
        <v>30672.47</v>
      </c>
      <c r="D60" s="206">
        <f>'11 Вед'!Z319</f>
        <v>30672.47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49"/>
      <c r="D61" s="149"/>
      <c r="E61" s="9"/>
    </row>
    <row r="62" spans="1:5" s="204" customFormat="1" ht="18.75" x14ac:dyDescent="0.3">
      <c r="A62" s="41" t="s">
        <v>282</v>
      </c>
      <c r="B62" s="36" t="s">
        <v>660</v>
      </c>
      <c r="C62" s="207">
        <f>C63+C64</f>
        <v>-145</v>
      </c>
      <c r="D62" s="207">
        <f>D63+D64</f>
        <v>5229</v>
      </c>
      <c r="E62" s="207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49"/>
      <c r="D63" s="149"/>
      <c r="E63" s="9"/>
    </row>
    <row r="64" spans="1:5" s="44" customFormat="1" ht="18.75" x14ac:dyDescent="0.3">
      <c r="A64" s="31" t="s">
        <v>283</v>
      </c>
      <c r="B64" s="33" t="s">
        <v>663</v>
      </c>
      <c r="C64" s="206">
        <f>'11 Вед'!Y873</f>
        <v>-145</v>
      </c>
      <c r="D64" s="206">
        <f>'11 Вед'!Z873</f>
        <v>5229</v>
      </c>
      <c r="E64" s="206" t="e">
        <f>'2018'!#REF!</f>
        <v>#REF!</v>
      </c>
    </row>
    <row r="65" spans="1:5" s="204" customFormat="1" ht="21" hidden="1" customHeight="1" x14ac:dyDescent="0.3">
      <c r="A65" s="41" t="s">
        <v>664</v>
      </c>
      <c r="B65" s="36" t="s">
        <v>665</v>
      </c>
      <c r="C65" s="207">
        <f>C66</f>
        <v>0</v>
      </c>
      <c r="D65" s="207">
        <f>D66</f>
        <v>0</v>
      </c>
      <c r="E65" s="207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6">
        <v>0</v>
      </c>
      <c r="D66" s="206">
        <v>0</v>
      </c>
      <c r="E66" s="206" t="e">
        <f>'2018'!#REF!</f>
        <v>#REF!</v>
      </c>
    </row>
    <row r="67" spans="1:5" s="204" customFormat="1" ht="28.5" customHeight="1" x14ac:dyDescent="0.3">
      <c r="A67" s="41" t="s">
        <v>285</v>
      </c>
      <c r="B67" s="18" t="s">
        <v>668</v>
      </c>
      <c r="C67" s="207">
        <f>C68+C70</f>
        <v>6417.1999999999989</v>
      </c>
      <c r="D67" s="207">
        <f>D68+D70</f>
        <v>47204.7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6">
        <f>'11 Вед'!Y446</f>
        <v>3639.1999999999994</v>
      </c>
      <c r="D68" s="206">
        <f>'11 Вед'!Z446</f>
        <v>35244.699999999997</v>
      </c>
      <c r="E68" s="206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6">
        <v>0</v>
      </c>
      <c r="D69" s="206">
        <v>0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6">
        <f>'11 Вед'!Y450</f>
        <v>2778</v>
      </c>
      <c r="D70" s="206">
        <f>'11 Вед'!Z450</f>
        <v>11960</v>
      </c>
      <c r="E70" s="9"/>
    </row>
    <row r="71" spans="1:5" s="44" customFormat="1" ht="18.75" x14ac:dyDescent="0.3">
      <c r="A71" s="8" t="s">
        <v>696</v>
      </c>
      <c r="B71" s="150" t="s">
        <v>697</v>
      </c>
      <c r="C71" s="206">
        <f>'11 Вед'!Y1039</f>
        <v>-8244.69</v>
      </c>
      <c r="D71" s="206">
        <f>'11 Вед'!Z1039</f>
        <v>-4.5000000009167707E-3</v>
      </c>
      <c r="E71" s="206" t="e">
        <f>'2018'!#REF!</f>
        <v>#REF!</v>
      </c>
    </row>
    <row r="72" spans="1:5" s="204" customFormat="1" ht="18.75" x14ac:dyDescent="0.3">
      <c r="A72" s="202" t="s">
        <v>292</v>
      </c>
      <c r="B72" s="203"/>
      <c r="C72" s="207">
        <f>C9+C18+C21+C27+C35+C42+C48+C51+C57+C62+C65+C67+C71</f>
        <v>283967.75</v>
      </c>
      <c r="D72" s="207">
        <f>D9+D18+D21+D27+D35+D42+D48+D51+D57+D62+D65+D67+D71</f>
        <v>1001804.29</v>
      </c>
      <c r="E72" s="207" t="e">
        <f>E9+E18+E21+E27+E35+E40+E42+E48+E51+E57+E62+E65+E67+E71</f>
        <v>#REF!</v>
      </c>
    </row>
    <row r="73" spans="1:5" s="44" customFormat="1" ht="20.25" hidden="1" customHeight="1" x14ac:dyDescent="0.3">
      <c r="A73" s="210"/>
      <c r="B73" s="210"/>
      <c r="C73" s="211" t="e">
        <f>'2018'!#REF!</f>
        <v>#REF!</v>
      </c>
      <c r="D73" s="211" t="e">
        <f>'2018'!#REF!</f>
        <v>#REF!</v>
      </c>
      <c r="E73" s="211" t="e">
        <f>'2018'!#REF!</f>
        <v>#REF!</v>
      </c>
    </row>
    <row r="74" spans="1:5" s="44" customFormat="1" ht="18.75" hidden="1" x14ac:dyDescent="0.3">
      <c r="A74" s="1"/>
      <c r="B74" s="121"/>
      <c r="C74" s="208" t="e">
        <f>C72-C73</f>
        <v>#REF!</v>
      </c>
      <c r="D74" s="208" t="e">
        <f>D72-D73</f>
        <v>#REF!</v>
      </c>
      <c r="E74" s="208" t="e">
        <f>E72-E73</f>
        <v>#REF!</v>
      </c>
    </row>
    <row r="75" spans="1:5" s="44" customFormat="1" ht="18.75" hidden="1" x14ac:dyDescent="0.3">
      <c r="A75" s="1"/>
      <c r="B75" s="121"/>
      <c r="C75" s="4"/>
      <c r="D75" s="3"/>
      <c r="E75" s="3"/>
    </row>
    <row r="76" spans="1:5" s="44" customFormat="1" ht="18.75" hidden="1" x14ac:dyDescent="0.3">
      <c r="A76" s="1"/>
      <c r="B76" s="121"/>
      <c r="C76" s="208">
        <f>'2018'!M1160</f>
        <v>0</v>
      </c>
      <c r="D76" s="243">
        <f>'2018'!N1160</f>
        <v>0</v>
      </c>
      <c r="E76" s="3"/>
    </row>
    <row r="77" spans="1:5" s="44" customFormat="1" ht="18.75" hidden="1" x14ac:dyDescent="0.3">
      <c r="A77" s="1"/>
      <c r="B77" s="121"/>
      <c r="C77" s="208">
        <f>C72-C76</f>
        <v>283967.75</v>
      </c>
      <c r="D77" s="208">
        <f>D72-D76</f>
        <v>1001804.29</v>
      </c>
      <c r="E77" s="208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1" customWidth="1"/>
    <col min="2" max="2" width="47.42578125" style="102" customWidth="1"/>
    <col min="3" max="3" width="9.7109375" style="103" customWidth="1"/>
    <col min="4" max="4" width="15.28515625" style="103" customWidth="1"/>
    <col min="5" max="5" width="15.140625" style="103" customWidth="1"/>
    <col min="6" max="6" width="12.85546875" style="103" customWidth="1"/>
    <col min="7" max="7" width="21.42578125" style="103" customWidth="1"/>
    <col min="8" max="254" width="9.140625" style="104" customWidth="1"/>
    <col min="255" max="255" width="3.5703125" style="104" customWidth="1"/>
    <col min="256" max="16384" width="40.85546875" style="104"/>
  </cols>
  <sheetData>
    <row r="1" spans="1:256" x14ac:dyDescent="0.2">
      <c r="E1" s="516" t="s">
        <v>599</v>
      </c>
      <c r="F1" s="516"/>
      <c r="G1" s="516"/>
    </row>
    <row r="2" spans="1:256" ht="58.5" customHeight="1" x14ac:dyDescent="0.2">
      <c r="F2" s="471" t="s">
        <v>446</v>
      </c>
      <c r="G2" s="471"/>
      <c r="H2" s="43"/>
    </row>
    <row r="3" spans="1:256" ht="51" customHeight="1" x14ac:dyDescent="0.3">
      <c r="A3" s="517" t="s">
        <v>688</v>
      </c>
      <c r="B3" s="517"/>
      <c r="C3" s="517"/>
      <c r="D3" s="517"/>
      <c r="E3" s="517"/>
      <c r="F3" s="517"/>
      <c r="G3" s="517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ht="18" x14ac:dyDescent="0.25">
      <c r="A4" s="155"/>
      <c r="B4" s="155"/>
      <c r="C4" s="155"/>
      <c r="D4" s="155"/>
      <c r="E4" s="156"/>
      <c r="F4" s="518" t="s">
        <v>549</v>
      </c>
      <c r="G4" s="518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spans="1:256" ht="15" x14ac:dyDescent="0.2">
      <c r="A6" s="157">
        <v>1</v>
      </c>
      <c r="B6" s="157">
        <v>2</v>
      </c>
      <c r="C6" s="158" t="s">
        <v>565</v>
      </c>
      <c r="D6" s="158" t="s">
        <v>595</v>
      </c>
      <c r="E6" s="158" t="s">
        <v>596</v>
      </c>
      <c r="F6" s="158" t="s">
        <v>597</v>
      </c>
      <c r="G6" s="157">
        <v>8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ht="18" x14ac:dyDescent="0.25">
      <c r="A7" s="157"/>
      <c r="B7" s="159"/>
      <c r="C7" s="158"/>
      <c r="D7" s="158"/>
      <c r="E7" s="158"/>
      <c r="F7" s="158"/>
      <c r="G7" s="160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18" x14ac:dyDescent="0.25">
      <c r="A8" s="157"/>
      <c r="B8" s="159"/>
      <c r="C8" s="158"/>
      <c r="D8" s="158"/>
      <c r="E8" s="158"/>
      <c r="F8" s="158"/>
      <c r="G8" s="160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18.75" x14ac:dyDescent="0.3">
      <c r="A9" s="161"/>
      <c r="B9" s="159"/>
      <c r="C9" s="158"/>
      <c r="D9" s="158"/>
      <c r="E9" s="158"/>
      <c r="F9" s="158"/>
      <c r="G9" s="160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256" ht="18.75" x14ac:dyDescent="0.3">
      <c r="A10" s="157"/>
      <c r="B10" s="159"/>
      <c r="C10" s="158"/>
      <c r="D10" s="158"/>
      <c r="E10" s="158"/>
      <c r="F10" s="158"/>
      <c r="G10" s="160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ht="18" x14ac:dyDescent="0.25">
      <c r="A11" s="157"/>
      <c r="B11" s="159"/>
      <c r="C11" s="158"/>
      <c r="D11" s="158"/>
      <c r="E11" s="158"/>
      <c r="F11" s="158"/>
      <c r="G11" s="16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ht="18" x14ac:dyDescent="0.25">
      <c r="A12" s="157"/>
      <c r="B12" s="159"/>
      <c r="C12" s="158"/>
      <c r="D12" s="158"/>
      <c r="E12" s="158"/>
      <c r="F12" s="158"/>
      <c r="G12" s="160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18.75" x14ac:dyDescent="0.3">
      <c r="A13" s="157"/>
      <c r="B13" s="159"/>
      <c r="C13" s="158"/>
      <c r="D13" s="158"/>
      <c r="E13" s="158"/>
      <c r="F13" s="158"/>
      <c r="G13" s="160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ht="18.75" x14ac:dyDescent="0.3">
      <c r="A14" s="157"/>
      <c r="B14" s="159"/>
      <c r="C14" s="158"/>
      <c r="D14" s="158"/>
      <c r="E14" s="158"/>
      <c r="F14" s="158"/>
      <c r="G14" s="160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ht="18" x14ac:dyDescent="0.25">
      <c r="A15" s="157"/>
      <c r="B15" s="159"/>
      <c r="C15" s="158"/>
      <c r="D15" s="158"/>
      <c r="E15" s="158"/>
      <c r="F15" s="158"/>
      <c r="G15" s="160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ht="18.75" x14ac:dyDescent="0.3">
      <c r="A16" s="157"/>
      <c r="B16" s="159"/>
      <c r="C16" s="158"/>
      <c r="D16" s="158"/>
      <c r="E16" s="158"/>
      <c r="F16" s="158"/>
      <c r="G16" s="160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ht="18" x14ac:dyDescent="0.25">
      <c r="A17" s="157"/>
      <c r="B17" s="159"/>
      <c r="C17" s="158"/>
      <c r="D17" s="158"/>
      <c r="E17" s="158"/>
      <c r="F17" s="158"/>
      <c r="G17" s="16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ht="18.75" x14ac:dyDescent="0.3">
      <c r="A18" s="157"/>
      <c r="B18" s="159"/>
      <c r="C18" s="158"/>
      <c r="D18" s="158"/>
      <c r="E18" s="158"/>
      <c r="F18" s="158"/>
      <c r="G18" s="160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spans="1:256" ht="18" x14ac:dyDescent="0.25">
      <c r="A19" s="157"/>
      <c r="B19" s="519" t="s">
        <v>292</v>
      </c>
      <c r="C19" s="519"/>
      <c r="D19" s="519"/>
      <c r="E19" s="519"/>
      <c r="F19" s="519"/>
      <c r="G19" s="16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2" spans="1:256" ht="124.5" customHeight="1" x14ac:dyDescent="0.2">
      <c r="A22" s="520" t="s">
        <v>600</v>
      </c>
      <c r="B22" s="520"/>
      <c r="C22" s="520"/>
      <c r="D22" s="520"/>
      <c r="E22" s="520"/>
      <c r="F22" s="520"/>
      <c r="G22" s="520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1" customWidth="1"/>
    <col min="2" max="2" width="47.42578125" style="102" customWidth="1"/>
    <col min="3" max="3" width="12.28515625" style="103" customWidth="1"/>
    <col min="4" max="5" width="14.5703125" style="103" customWidth="1"/>
    <col min="6" max="6" width="12.28515625" style="103" customWidth="1"/>
    <col min="7" max="8" width="17.5703125" style="113" customWidth="1"/>
    <col min="9" max="254" width="9.140625" style="104" customWidth="1"/>
    <col min="255" max="255" width="3.5703125" style="104" customWidth="1"/>
    <col min="256" max="16384" width="36" style="104"/>
  </cols>
  <sheetData>
    <row r="1" spans="1:256" x14ac:dyDescent="0.2">
      <c r="G1" s="516" t="s">
        <v>588</v>
      </c>
      <c r="H1" s="516"/>
    </row>
    <row r="2" spans="1:256" ht="59.25" customHeight="1" x14ac:dyDescent="0.2">
      <c r="G2" s="471" t="s">
        <v>446</v>
      </c>
      <c r="H2" s="471"/>
      <c r="I2" s="43"/>
    </row>
    <row r="3" spans="1:256" ht="50.25" customHeight="1" x14ac:dyDescent="0.3">
      <c r="A3" s="517" t="s">
        <v>687</v>
      </c>
      <c r="B3" s="517"/>
      <c r="C3" s="517"/>
      <c r="D3" s="517"/>
      <c r="E3" s="517"/>
      <c r="F3" s="517"/>
      <c r="G3" s="517"/>
      <c r="H3" s="517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x14ac:dyDescent="0.2">
      <c r="A4" s="162"/>
      <c r="B4" s="162"/>
      <c r="C4" s="162"/>
      <c r="D4" s="162"/>
      <c r="E4" s="163"/>
      <c r="F4" s="518" t="s">
        <v>589</v>
      </c>
      <c r="G4" s="518"/>
      <c r="H4" s="518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x14ac:dyDescent="0.2">
      <c r="A6" s="164">
        <v>1</v>
      </c>
      <c r="B6" s="164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4">
        <v>8</v>
      </c>
      <c r="H6" s="164">
        <v>9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ht="18.75" x14ac:dyDescent="0.3">
      <c r="A7" s="164"/>
      <c r="B7" s="165"/>
      <c r="C7" s="40"/>
      <c r="D7" s="40"/>
      <c r="E7" s="40"/>
      <c r="F7" s="40"/>
      <c r="G7" s="166"/>
      <c r="H7" s="166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ht="18.75" x14ac:dyDescent="0.3">
      <c r="A8" s="164"/>
      <c r="B8" s="165"/>
      <c r="C8" s="40"/>
      <c r="D8" s="40"/>
      <c r="E8" s="40"/>
      <c r="F8" s="40"/>
      <c r="G8" s="166"/>
      <c r="H8" s="166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ht="18.75" x14ac:dyDescent="0.3">
      <c r="A9" s="167"/>
      <c r="B9" s="165"/>
      <c r="C9" s="40"/>
      <c r="D9" s="40"/>
      <c r="E9" s="40"/>
      <c r="F9" s="40"/>
      <c r="G9" s="166"/>
      <c r="H9" s="166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19.5" x14ac:dyDescent="0.35">
      <c r="A10" s="164"/>
      <c r="B10" s="165"/>
      <c r="C10" s="40"/>
      <c r="D10" s="40"/>
      <c r="E10" s="40"/>
      <c r="F10" s="40"/>
      <c r="G10" s="166"/>
      <c r="H10" s="166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18.75" x14ac:dyDescent="0.3">
      <c r="A11" s="164"/>
      <c r="B11" s="165"/>
      <c r="C11" s="40"/>
      <c r="D11" s="40"/>
      <c r="E11" s="40"/>
      <c r="F11" s="40"/>
      <c r="G11" s="166"/>
      <c r="H11" s="166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18.75" x14ac:dyDescent="0.3">
      <c r="A12" s="164"/>
      <c r="B12" s="165"/>
      <c r="C12" s="40"/>
      <c r="D12" s="40"/>
      <c r="E12" s="40"/>
      <c r="F12" s="40"/>
      <c r="G12" s="166"/>
      <c r="H12" s="166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18.75" x14ac:dyDescent="0.3">
      <c r="A13" s="164"/>
      <c r="B13" s="165"/>
      <c r="C13" s="40"/>
      <c r="D13" s="40"/>
      <c r="E13" s="40"/>
      <c r="F13" s="40"/>
      <c r="G13" s="166"/>
      <c r="H13" s="166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19.5" x14ac:dyDescent="0.35">
      <c r="A14" s="164"/>
      <c r="B14" s="165"/>
      <c r="C14" s="40"/>
      <c r="D14" s="40"/>
      <c r="E14" s="40"/>
      <c r="F14" s="40"/>
      <c r="G14" s="166"/>
      <c r="H14" s="166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256" ht="18.75" x14ac:dyDescent="0.3">
      <c r="A15" s="164"/>
      <c r="B15" s="165"/>
      <c r="C15" s="40"/>
      <c r="D15" s="40"/>
      <c r="E15" s="40"/>
      <c r="F15" s="40"/>
      <c r="G15" s="166"/>
      <c r="H15" s="166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ht="18.75" x14ac:dyDescent="0.3">
      <c r="A16" s="164"/>
      <c r="B16" s="165"/>
      <c r="C16" s="40"/>
      <c r="D16" s="40"/>
      <c r="E16" s="40"/>
      <c r="F16" s="40"/>
      <c r="G16" s="168"/>
      <c r="H16" s="168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8.75" x14ac:dyDescent="0.3">
      <c r="A17" s="164"/>
      <c r="B17" s="165"/>
      <c r="C17" s="40"/>
      <c r="D17" s="40"/>
      <c r="E17" s="40"/>
      <c r="F17" s="40"/>
      <c r="G17" s="166"/>
      <c r="H17" s="166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8.75" x14ac:dyDescent="0.3">
      <c r="A18" s="164"/>
      <c r="B18" s="165"/>
      <c r="C18" s="40"/>
      <c r="D18" s="40"/>
      <c r="E18" s="40"/>
      <c r="F18" s="40"/>
      <c r="G18" s="166"/>
      <c r="H18" s="166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18.75" x14ac:dyDescent="0.3">
      <c r="A19" s="164"/>
      <c r="B19" s="165"/>
      <c r="C19" s="40"/>
      <c r="D19" s="40"/>
      <c r="E19" s="40"/>
      <c r="F19" s="40"/>
      <c r="G19" s="166"/>
      <c r="H19" s="166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18.75" x14ac:dyDescent="0.3">
      <c r="A20" s="164"/>
      <c r="B20" s="165"/>
      <c r="C20" s="40"/>
      <c r="D20" s="40"/>
      <c r="E20" s="40"/>
      <c r="F20" s="40"/>
      <c r="G20" s="166"/>
      <c r="H20" s="166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18.75" x14ac:dyDescent="0.3">
      <c r="A21" s="164"/>
      <c r="B21" s="39"/>
      <c r="C21" s="33"/>
      <c r="D21" s="33"/>
      <c r="E21" s="33"/>
      <c r="F21" s="33"/>
      <c r="G21" s="166"/>
      <c r="H21" s="166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ht="18.75" x14ac:dyDescent="0.3">
      <c r="A22" s="164"/>
      <c r="B22" s="521" t="s">
        <v>292</v>
      </c>
      <c r="C22" s="521"/>
      <c r="D22" s="521"/>
      <c r="E22" s="521"/>
      <c r="F22" s="521"/>
      <c r="G22" s="166"/>
      <c r="H22" s="166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x14ac:dyDescent="0.2">
      <c r="A23" s="112"/>
      <c r="G23" s="103"/>
      <c r="H23" s="103"/>
    </row>
    <row r="25" spans="1:256" ht="61.5" customHeight="1" x14ac:dyDescent="0.2">
      <c r="A25" s="522" t="s">
        <v>598</v>
      </c>
      <c r="B25" s="522"/>
      <c r="C25" s="522"/>
      <c r="D25" s="522"/>
      <c r="E25" s="522"/>
      <c r="F25" s="522"/>
      <c r="G25" s="522"/>
      <c r="H25" s="522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zoomScaleNormal="100" zoomScaleSheetLayoutView="100" workbookViewId="0">
      <selection activeCell="A70" sqref="A70:XFD70"/>
    </sheetView>
  </sheetViews>
  <sheetFormatPr defaultRowHeight="12.75" x14ac:dyDescent="0.2"/>
  <cols>
    <col min="1" max="1" width="71.42578125" style="1" customWidth="1"/>
    <col min="2" max="2" width="9" style="120" customWidth="1"/>
    <col min="3" max="3" width="11.5703125" style="120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9" t="s">
        <v>717</v>
      </c>
    </row>
    <row r="2" spans="1:6" ht="55.5" customHeight="1" x14ac:dyDescent="0.2">
      <c r="D2" s="471" t="s">
        <v>1218</v>
      </c>
      <c r="E2" s="471"/>
    </row>
    <row r="3" spans="1:6" ht="24" customHeight="1" x14ac:dyDescent="0.2">
      <c r="D3" s="5"/>
    </row>
    <row r="4" spans="1:6" s="44" customFormat="1" ht="49.5" customHeight="1" x14ac:dyDescent="0.3">
      <c r="A4" s="515" t="s">
        <v>1226</v>
      </c>
      <c r="B4" s="515"/>
      <c r="C4" s="515"/>
      <c r="D4" s="515"/>
      <c r="E4" s="515"/>
      <c r="F4" s="151"/>
    </row>
    <row r="5" spans="1:6" s="52" customFormat="1" ht="18.75" x14ac:dyDescent="0.3">
      <c r="A5" s="100"/>
      <c r="B5" s="147"/>
      <c r="C5" s="147"/>
      <c r="D5" s="499" t="s">
        <v>549</v>
      </c>
      <c r="E5" s="499"/>
      <c r="F5" s="151"/>
    </row>
    <row r="6" spans="1:6" s="152" customFormat="1" ht="53.25" customHeight="1" x14ac:dyDescent="0.2">
      <c r="A6" s="38" t="s">
        <v>187</v>
      </c>
      <c r="B6" s="38" t="s">
        <v>601</v>
      </c>
      <c r="C6" s="38" t="s">
        <v>1227</v>
      </c>
      <c r="D6" s="38" t="s">
        <v>1188</v>
      </c>
      <c r="E6" s="38" t="s">
        <v>1224</v>
      </c>
    </row>
    <row r="7" spans="1:6" s="6" customFormat="1" ht="15.75" x14ac:dyDescent="0.2">
      <c r="A7" s="38">
        <v>1</v>
      </c>
      <c r="B7" s="148">
        <v>2</v>
      </c>
      <c r="C7" s="14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3"/>
      <c r="C8" s="153"/>
      <c r="D8" s="154"/>
      <c r="E8" s="9"/>
    </row>
    <row r="9" spans="1:6" s="204" customFormat="1" ht="18.75" x14ac:dyDescent="0.3">
      <c r="A9" s="284" t="s">
        <v>189</v>
      </c>
      <c r="B9" s="36" t="s">
        <v>602</v>
      </c>
      <c r="C9" s="389">
        <f>C10+C11+C12+C13+C14+C16+C17</f>
        <v>376.93999999999994</v>
      </c>
      <c r="D9" s="389">
        <f t="shared" ref="D9:E9" si="0">D10+D11+D12+D13+D14+D16+D17</f>
        <v>65290.705999999969</v>
      </c>
      <c r="E9" s="389">
        <f t="shared" si="0"/>
        <v>64952.91</v>
      </c>
    </row>
    <row r="10" spans="1:6" s="44" customFormat="1" ht="25.5" x14ac:dyDescent="0.3">
      <c r="A10" s="31" t="s">
        <v>191</v>
      </c>
      <c r="B10" s="11" t="s">
        <v>603</v>
      </c>
      <c r="C10" s="387">
        <f>'12 Вед'!M490</f>
        <v>0</v>
      </c>
      <c r="D10" s="387">
        <f>'12 Вед'!N490</f>
        <v>2083</v>
      </c>
      <c r="E10" s="387">
        <f>'12 Вед'!O490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7">
        <f>'12 Вед'!M438</f>
        <v>216</v>
      </c>
      <c r="D11" s="387">
        <f>'12 Вед'!N438</f>
        <v>4720</v>
      </c>
      <c r="E11" s="387">
        <f>'12 Вед'!O438</f>
        <v>4720</v>
      </c>
    </row>
    <row r="12" spans="1:6" s="44" customFormat="1" ht="38.25" x14ac:dyDescent="0.3">
      <c r="A12" s="31" t="s">
        <v>195</v>
      </c>
      <c r="B12" s="11" t="s">
        <v>605</v>
      </c>
      <c r="C12" s="387">
        <f>'12 Вед'!M501+'12 Вед'!M316</f>
        <v>79.699999999999875</v>
      </c>
      <c r="D12" s="387">
        <f>'12 Вед'!N501+'12 Вед'!N316</f>
        <v>20179.3</v>
      </c>
      <c r="E12" s="387">
        <f>'12 Вед'!O501+'12 Вед'!O316</f>
        <v>20179.3</v>
      </c>
    </row>
    <row r="13" spans="1:6" s="44" customFormat="1" ht="18.75" x14ac:dyDescent="0.3">
      <c r="A13" s="31" t="s">
        <v>197</v>
      </c>
      <c r="B13" s="11" t="s">
        <v>851</v>
      </c>
      <c r="C13" s="387">
        <f>'12 Вед'!M562</f>
        <v>3.8</v>
      </c>
      <c r="D13" s="387">
        <f>'12 Вед'!N562</f>
        <v>5</v>
      </c>
      <c r="E13" s="387">
        <f>'12 Вед'!O562</f>
        <v>81.400000000000006</v>
      </c>
    </row>
    <row r="14" spans="1:6" s="44" customFormat="1" ht="25.5" x14ac:dyDescent="0.3">
      <c r="A14" s="31" t="s">
        <v>199</v>
      </c>
      <c r="B14" s="11" t="s">
        <v>606</v>
      </c>
      <c r="C14" s="387">
        <f>'12 Вед'!M343+'12 Вед'!M475</f>
        <v>93</v>
      </c>
      <c r="D14" s="387">
        <f>'12 Вед'!N343+'12 Вед'!N475</f>
        <v>6846.6</v>
      </c>
      <c r="E14" s="387">
        <f>'12 Вед'!O343+'12 Вед'!O475</f>
        <v>6670.6</v>
      </c>
    </row>
    <row r="15" spans="1:6" s="44" customFormat="1" ht="18.75" hidden="1" x14ac:dyDescent="0.3">
      <c r="A15" s="31" t="s">
        <v>201</v>
      </c>
      <c r="B15" s="11" t="s">
        <v>607</v>
      </c>
      <c r="C15" s="387"/>
      <c r="D15" s="387"/>
      <c r="E15" s="387"/>
    </row>
    <row r="16" spans="1:6" s="44" customFormat="1" ht="14.25" customHeight="1" x14ac:dyDescent="0.3">
      <c r="A16" s="31" t="s">
        <v>203</v>
      </c>
      <c r="B16" s="11" t="s">
        <v>608</v>
      </c>
      <c r="C16" s="387">
        <f>'12 Вед'!M569</f>
        <v>0</v>
      </c>
      <c r="D16" s="387">
        <f>'12 Вед'!N569</f>
        <v>2650</v>
      </c>
      <c r="E16" s="387">
        <f>'12 Вед'!O569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7">
        <f>'12 Вед'!M574+'12 Вед'!M384</f>
        <v>-15.559999999999945</v>
      </c>
      <c r="D17" s="387">
        <f>'12 Вед'!N574+'12 Вед'!N384</f>
        <v>28806.805999999968</v>
      </c>
      <c r="E17" s="387">
        <f>'12 Вед'!O574+'12 Вед'!O384</f>
        <v>28568.61</v>
      </c>
    </row>
    <row r="18" spans="1:5" s="204" customFormat="1" ht="14.25" hidden="1" customHeight="1" x14ac:dyDescent="0.3">
      <c r="A18" s="284" t="s">
        <v>209</v>
      </c>
      <c r="B18" s="18" t="s">
        <v>610</v>
      </c>
      <c r="C18" s="388" t="e">
        <f>C19</f>
        <v>#REF!</v>
      </c>
      <c r="D18" s="388" t="e">
        <f t="shared" ref="D18:E18" si="1">D19</f>
        <v>#REF!</v>
      </c>
      <c r="E18" s="388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7" t="e">
        <f>'12 Вед'!M367</f>
        <v>#REF!</v>
      </c>
      <c r="D19" s="387" t="e">
        <f>'12 Вед'!N367</f>
        <v>#REF!</v>
      </c>
      <c r="E19" s="387" t="e">
        <f>'12 Вед'!O367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7"/>
      <c r="D20" s="387"/>
      <c r="E20" s="387"/>
    </row>
    <row r="21" spans="1:5" s="204" customFormat="1" ht="25.5" x14ac:dyDescent="0.3">
      <c r="A21" s="284" t="s">
        <v>210</v>
      </c>
      <c r="B21" s="18" t="s">
        <v>613</v>
      </c>
      <c r="C21" s="388">
        <f>C24+C25+C26</f>
        <v>0</v>
      </c>
      <c r="D21" s="388">
        <f t="shared" ref="D21:E21" si="2">D24+D25+D26</f>
        <v>6031</v>
      </c>
      <c r="E21" s="388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7"/>
      <c r="D22" s="387"/>
      <c r="E22" s="387"/>
    </row>
    <row r="23" spans="1:5" s="44" customFormat="1" ht="18.75" hidden="1" x14ac:dyDescent="0.3">
      <c r="A23" s="31" t="s">
        <v>615</v>
      </c>
      <c r="B23" s="11" t="s">
        <v>616</v>
      </c>
      <c r="C23" s="387"/>
      <c r="D23" s="387"/>
      <c r="E23" s="387"/>
    </row>
    <row r="24" spans="1:5" s="44" customFormat="1" ht="25.5" x14ac:dyDescent="0.3">
      <c r="A24" s="31" t="s">
        <v>617</v>
      </c>
      <c r="B24" s="11" t="s">
        <v>618</v>
      </c>
      <c r="C24" s="387">
        <f>'12 Вед'!M641</f>
        <v>-6031</v>
      </c>
      <c r="D24" s="387">
        <f>'12 Вед'!N641</f>
        <v>0</v>
      </c>
      <c r="E24" s="387">
        <f>'12 Вед'!O641</f>
        <v>0</v>
      </c>
    </row>
    <row r="25" spans="1:5" s="44" customFormat="1" ht="18.75" x14ac:dyDescent="0.3">
      <c r="A25" s="31" t="s">
        <v>213</v>
      </c>
      <c r="B25" s="11" t="s">
        <v>619</v>
      </c>
      <c r="C25" s="387">
        <f>'12 Вед'!M682</f>
        <v>5961</v>
      </c>
      <c r="D25" s="387">
        <f>'12 Вед'!N682</f>
        <v>5961</v>
      </c>
      <c r="E25" s="387">
        <f>'12 Вед'!O682</f>
        <v>5961</v>
      </c>
    </row>
    <row r="26" spans="1:5" s="44" customFormat="1" ht="25.5" x14ac:dyDescent="0.3">
      <c r="A26" s="31" t="s">
        <v>48</v>
      </c>
      <c r="B26" s="11" t="s">
        <v>620</v>
      </c>
      <c r="C26" s="387">
        <f>'12 Вед'!M692</f>
        <v>70</v>
      </c>
      <c r="D26" s="387">
        <f>'12 Вед'!N692</f>
        <v>70</v>
      </c>
      <c r="E26" s="387">
        <f>'12 Вед'!O692</f>
        <v>70</v>
      </c>
    </row>
    <row r="27" spans="1:5" s="204" customFormat="1" ht="18.75" x14ac:dyDescent="0.3">
      <c r="A27" s="284" t="s">
        <v>215</v>
      </c>
      <c r="B27" s="18" t="s">
        <v>621</v>
      </c>
      <c r="C27" s="388">
        <f>C28+C32+C34</f>
        <v>886.88</v>
      </c>
      <c r="D27" s="388">
        <f t="shared" ref="D27:E27" si="3">D28+D32+D34</f>
        <v>21073.949999999997</v>
      </c>
      <c r="E27" s="388">
        <f t="shared" si="3"/>
        <v>21467.54</v>
      </c>
    </row>
    <row r="28" spans="1:5" s="44" customFormat="1" ht="15" customHeight="1" x14ac:dyDescent="0.3">
      <c r="A28" s="31" t="s">
        <v>217</v>
      </c>
      <c r="B28" s="11" t="s">
        <v>622</v>
      </c>
      <c r="C28" s="387">
        <f>'12 Вед'!M698</f>
        <v>108.6</v>
      </c>
      <c r="D28" s="387">
        <f>'12 Вед'!N698</f>
        <v>3338.4</v>
      </c>
      <c r="E28" s="387">
        <f>'12 Вед'!O698</f>
        <v>3338.4</v>
      </c>
    </row>
    <row r="29" spans="1:5" s="44" customFormat="1" ht="18.75" hidden="1" x14ac:dyDescent="0.3">
      <c r="A29" s="31" t="s">
        <v>218</v>
      </c>
      <c r="B29" s="11" t="s">
        <v>623</v>
      </c>
      <c r="C29" s="387">
        <f>'12 Вед'!M733</f>
        <v>0</v>
      </c>
      <c r="D29" s="387">
        <f>'12 Вед'!N733</f>
        <v>0</v>
      </c>
      <c r="E29" s="387">
        <f>'12 Вед'!O733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7"/>
      <c r="D30" s="387"/>
      <c r="E30" s="387"/>
    </row>
    <row r="31" spans="1:5" s="44" customFormat="1" ht="18.75" hidden="1" x14ac:dyDescent="0.3">
      <c r="A31" s="31" t="s">
        <v>38</v>
      </c>
      <c r="B31" s="11" t="s">
        <v>625</v>
      </c>
      <c r="C31" s="387"/>
      <c r="D31" s="387"/>
      <c r="E31" s="387"/>
    </row>
    <row r="32" spans="1:5" s="44" customFormat="1" ht="15" customHeight="1" x14ac:dyDescent="0.3">
      <c r="A32" s="31" t="s">
        <v>374</v>
      </c>
      <c r="B32" s="11" t="s">
        <v>626</v>
      </c>
      <c r="C32" s="387">
        <f>'12 Вед'!M735</f>
        <v>857.88</v>
      </c>
      <c r="D32" s="387">
        <f>'12 Вед'!N735</f>
        <v>11911.15</v>
      </c>
      <c r="E32" s="387">
        <f>'12 Вед'!O735</f>
        <v>12404.74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7"/>
      <c r="D33" s="387"/>
      <c r="E33" s="387"/>
    </row>
    <row r="34" spans="1:5" s="44" customFormat="1" ht="18.75" x14ac:dyDescent="0.3">
      <c r="A34" s="31" t="s">
        <v>220</v>
      </c>
      <c r="B34" s="11" t="s">
        <v>628</v>
      </c>
      <c r="C34" s="387">
        <f>'12 Вед'!M739+'12 Вед'!M392</f>
        <v>-79.599999999999994</v>
      </c>
      <c r="D34" s="387">
        <f>'12 Вед'!N739+'12 Вед'!N392</f>
        <v>5824.4</v>
      </c>
      <c r="E34" s="387">
        <f>'12 Вед'!O739+'12 Вед'!O392</f>
        <v>5724.4</v>
      </c>
    </row>
    <row r="35" spans="1:5" s="204" customFormat="1" ht="18.75" x14ac:dyDescent="0.3">
      <c r="A35" s="284" t="s">
        <v>221</v>
      </c>
      <c r="B35" s="18" t="s">
        <v>629</v>
      </c>
      <c r="C35" s="388">
        <f>C37</f>
        <v>13638.8</v>
      </c>
      <c r="D35" s="388">
        <f t="shared" ref="D35:E35" si="4">D37</f>
        <v>44631.899999999994</v>
      </c>
      <c r="E35" s="388">
        <f t="shared" si="4"/>
        <v>44631.899999999994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7">
        <f>'12 Вед'!M763</f>
        <v>0</v>
      </c>
      <c r="D36" s="387">
        <f>'12 Вед'!N763</f>
        <v>0</v>
      </c>
      <c r="E36" s="387">
        <f>'12 Вед'!O763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7">
        <f>'12 Вед'!M772</f>
        <v>13638.8</v>
      </c>
      <c r="D37" s="387">
        <f>'12 Вед'!N772</f>
        <v>44631.899999999994</v>
      </c>
      <c r="E37" s="387">
        <f>'12 Вед'!O772</f>
        <v>44631.899999999994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7">
        <v>0</v>
      </c>
      <c r="D38" s="387">
        <v>0</v>
      </c>
      <c r="E38" s="387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7"/>
      <c r="D39" s="387"/>
      <c r="E39" s="387"/>
    </row>
    <row r="40" spans="1:5" s="204" customFormat="1" ht="18.75" hidden="1" x14ac:dyDescent="0.3">
      <c r="A40" s="284" t="s">
        <v>634</v>
      </c>
      <c r="B40" s="18" t="s">
        <v>635</v>
      </c>
      <c r="C40" s="388"/>
      <c r="D40" s="388"/>
      <c r="E40" s="388"/>
    </row>
    <row r="41" spans="1:5" s="44" customFormat="1" ht="17.25" hidden="1" customHeight="1" x14ac:dyDescent="0.3">
      <c r="A41" s="31" t="s">
        <v>33</v>
      </c>
      <c r="B41" s="11" t="s">
        <v>636</v>
      </c>
      <c r="C41" s="387"/>
      <c r="D41" s="387"/>
      <c r="E41" s="387"/>
    </row>
    <row r="42" spans="1:5" s="204" customFormat="1" ht="18.75" x14ac:dyDescent="0.3">
      <c r="A42" s="284" t="s">
        <v>226</v>
      </c>
      <c r="B42" s="18" t="s">
        <v>637</v>
      </c>
      <c r="C42" s="388">
        <f>C43+C44+C45+C46+C47</f>
        <v>-33491.227256000071</v>
      </c>
      <c r="D42" s="388">
        <f t="shared" ref="D42:E42" si="5">D43+D44+D45+D46+D47</f>
        <v>462583.18274399987</v>
      </c>
      <c r="E42" s="388">
        <f t="shared" si="5"/>
        <v>498008.9</v>
      </c>
    </row>
    <row r="43" spans="1:5" s="44" customFormat="1" ht="16.5" customHeight="1" x14ac:dyDescent="0.3">
      <c r="A43" s="31" t="s">
        <v>227</v>
      </c>
      <c r="B43" s="11" t="s">
        <v>638</v>
      </c>
      <c r="C43" s="387">
        <f>'12 Вед'!M114</f>
        <v>1273.1099999999888</v>
      </c>
      <c r="D43" s="387">
        <f>'12 Вед'!N114</f>
        <v>94506.992743999843</v>
      </c>
      <c r="E43" s="387">
        <f>'12 Вед'!O114</f>
        <v>103154.47</v>
      </c>
    </row>
    <row r="44" spans="1:5" s="44" customFormat="1" ht="12.75" customHeight="1" x14ac:dyDescent="0.3">
      <c r="A44" s="31" t="s">
        <v>228</v>
      </c>
      <c r="B44" s="11" t="s">
        <v>639</v>
      </c>
      <c r="C44" s="387">
        <f>'12 Вед'!M144+'12 Вед'!M820</f>
        <v>-32386.037256000061</v>
      </c>
      <c r="D44" s="387">
        <f>'12 Вед'!N144+'12 Вед'!N820</f>
        <v>323458.96000000002</v>
      </c>
      <c r="E44" s="387">
        <f>'12 Вед'!O144+'12 Вед'!O820</f>
        <v>350437.2</v>
      </c>
    </row>
    <row r="45" spans="1:5" s="44" customFormat="1" ht="15.75" customHeight="1" x14ac:dyDescent="0.3">
      <c r="A45" s="31" t="s">
        <v>850</v>
      </c>
      <c r="B45" s="11" t="s">
        <v>852</v>
      </c>
      <c r="C45" s="387">
        <f>'12 Вед'!M16+'12 Вед'!M211</f>
        <v>-2320</v>
      </c>
      <c r="D45" s="387">
        <f>'12 Вед'!N16+'12 Вед'!N211</f>
        <v>22856</v>
      </c>
      <c r="E45" s="387">
        <f>'12 Вед'!O16+'12 Вед'!O211</f>
        <v>22856</v>
      </c>
    </row>
    <row r="46" spans="1:5" s="44" customFormat="1" ht="15.75" customHeight="1" x14ac:dyDescent="0.3">
      <c r="A46" s="31" t="s">
        <v>230</v>
      </c>
      <c r="B46" s="11" t="s">
        <v>640</v>
      </c>
      <c r="C46" s="387">
        <f>'12 Вед'!M235+'12 Вед'!M30</f>
        <v>-2818.9</v>
      </c>
      <c r="D46" s="387">
        <f>'12 Вед'!N235+'12 Вед'!N30</f>
        <v>160</v>
      </c>
      <c r="E46" s="387">
        <f>'12 Вед'!O235+'12 Вед'!O30</f>
        <v>160</v>
      </c>
    </row>
    <row r="47" spans="1:5" s="44" customFormat="1" ht="18.75" x14ac:dyDescent="0.3">
      <c r="A47" s="31" t="s">
        <v>231</v>
      </c>
      <c r="B47" s="11" t="s">
        <v>641</v>
      </c>
      <c r="C47" s="387">
        <f>'12 Вед'!M245</f>
        <v>2760.6</v>
      </c>
      <c r="D47" s="387">
        <f>'12 Вед'!N245</f>
        <v>21601.23</v>
      </c>
      <c r="E47" s="387">
        <f>'12 Вед'!O245</f>
        <v>21401.23</v>
      </c>
    </row>
    <row r="48" spans="1:5" s="204" customFormat="1" ht="18.75" x14ac:dyDescent="0.3">
      <c r="A48" s="284" t="s">
        <v>232</v>
      </c>
      <c r="B48" s="18" t="s">
        <v>642</v>
      </c>
      <c r="C48" s="388">
        <f>C49+C50</f>
        <v>-51.419999999999995</v>
      </c>
      <c r="D48" s="388">
        <f t="shared" ref="D48:E48" si="6">D49+D50</f>
        <v>52065.45</v>
      </c>
      <c r="E48" s="388">
        <f t="shared" si="6"/>
        <v>52077.88</v>
      </c>
    </row>
    <row r="49" spans="1:5" s="44" customFormat="1" ht="16.5" customHeight="1" x14ac:dyDescent="0.3">
      <c r="A49" s="31" t="s">
        <v>234</v>
      </c>
      <c r="B49" s="11" t="s">
        <v>643</v>
      </c>
      <c r="C49" s="387">
        <f>'12 Вед'!M36</f>
        <v>-51.419999999999995</v>
      </c>
      <c r="D49" s="387">
        <f>'12 Вед'!N36</f>
        <v>40579.449999999997</v>
      </c>
      <c r="E49" s="387">
        <f>'12 Вед'!O36</f>
        <v>40591.879999999997</v>
      </c>
    </row>
    <row r="50" spans="1:5" s="44" customFormat="1" ht="14.25" customHeight="1" x14ac:dyDescent="0.3">
      <c r="A50" s="31" t="s">
        <v>644</v>
      </c>
      <c r="B50" s="11" t="s">
        <v>645</v>
      </c>
      <c r="C50" s="387">
        <f>'12 Вед'!M59</f>
        <v>0</v>
      </c>
      <c r="D50" s="387">
        <f>'12 Вед'!N59</f>
        <v>11486</v>
      </c>
      <c r="E50" s="387">
        <f>'12 Вед'!O59</f>
        <v>11486</v>
      </c>
    </row>
    <row r="51" spans="1:5" s="204" customFormat="1" ht="18.75" x14ac:dyDescent="0.3">
      <c r="A51" s="284" t="s">
        <v>274</v>
      </c>
      <c r="B51" s="18" t="s">
        <v>646</v>
      </c>
      <c r="C51" s="388">
        <f>C52+C54+C55</f>
        <v>-4232.5700000000006</v>
      </c>
      <c r="D51" s="388">
        <f t="shared" ref="D51:E51" si="7">D52+D54+D55</f>
        <v>8490</v>
      </c>
      <c r="E51" s="388">
        <f t="shared" si="7"/>
        <v>10650</v>
      </c>
    </row>
    <row r="52" spans="1:5" s="44" customFormat="1" ht="25.5" x14ac:dyDescent="0.3">
      <c r="A52" s="31" t="s">
        <v>647</v>
      </c>
      <c r="B52" s="11" t="s">
        <v>648</v>
      </c>
      <c r="C52" s="387">
        <f>'12 Вед'!M823</f>
        <v>360</v>
      </c>
      <c r="D52" s="387">
        <f>'12 Вед'!N823</f>
        <v>780</v>
      </c>
      <c r="E52" s="387">
        <f>'12 Вед'!O823</f>
        <v>865</v>
      </c>
    </row>
    <row r="53" spans="1:5" s="44" customFormat="1" ht="18.75" hidden="1" x14ac:dyDescent="0.3">
      <c r="A53" s="31" t="s">
        <v>276</v>
      </c>
      <c r="B53" s="11" t="s">
        <v>649</v>
      </c>
      <c r="C53" s="387"/>
      <c r="D53" s="387"/>
      <c r="E53" s="387"/>
    </row>
    <row r="54" spans="1:5" s="44" customFormat="1" ht="18.75" x14ac:dyDescent="0.3">
      <c r="A54" s="31" t="s">
        <v>277</v>
      </c>
      <c r="B54" s="11" t="s">
        <v>650</v>
      </c>
      <c r="C54" s="387">
        <f>'12 Вед'!M826</f>
        <v>-1867.27</v>
      </c>
      <c r="D54" s="387">
        <f>'12 Вед'!N826</f>
        <v>500</v>
      </c>
      <c r="E54" s="387">
        <f>'12 Вед'!O826</f>
        <v>2545.6999999999998</v>
      </c>
    </row>
    <row r="55" spans="1:5" s="44" customFormat="1" ht="18.75" x14ac:dyDescent="0.3">
      <c r="A55" s="31" t="s">
        <v>278</v>
      </c>
      <c r="B55" s="11" t="s">
        <v>651</v>
      </c>
      <c r="C55" s="387">
        <f>'12 Вед'!M85+'12 Вед'!M299</f>
        <v>-2725.3000000000006</v>
      </c>
      <c r="D55" s="387">
        <f>'12 Вед'!N85+'12 Вед'!N299</f>
        <v>7210</v>
      </c>
      <c r="E55" s="387">
        <f>'12 Вед'!O85+'12 Вед'!O299</f>
        <v>7239.2999999999993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7"/>
      <c r="D56" s="387"/>
      <c r="E56" s="387"/>
    </row>
    <row r="57" spans="1:5" s="204" customFormat="1" ht="13.5" customHeight="1" x14ac:dyDescent="0.3">
      <c r="A57" s="284" t="s">
        <v>653</v>
      </c>
      <c r="B57" s="18" t="s">
        <v>654</v>
      </c>
      <c r="C57" s="388">
        <f>C59+C60</f>
        <v>16188</v>
      </c>
      <c r="D57" s="388">
        <f t="shared" ref="D57:E57" si="8">D59+D60</f>
        <v>16688</v>
      </c>
      <c r="E57" s="388">
        <f t="shared" si="8"/>
        <v>16688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7">
        <f>'12 Вед'!M91</f>
        <v>0</v>
      </c>
      <c r="D58" s="387">
        <f>'12 Вед'!N91</f>
        <v>0</v>
      </c>
      <c r="E58" s="387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7">
        <f>'12 Вед'!M94</f>
        <v>0</v>
      </c>
      <c r="D59" s="387">
        <f>'12 Вед'!N94</f>
        <v>500</v>
      </c>
      <c r="E59" s="387">
        <f>'12 Вед'!O94</f>
        <v>500</v>
      </c>
    </row>
    <row r="60" spans="1:5" s="44" customFormat="1" ht="18.75" x14ac:dyDescent="0.3">
      <c r="A60" s="31" t="s">
        <v>143</v>
      </c>
      <c r="B60" s="11" t="s">
        <v>658</v>
      </c>
      <c r="C60" s="387">
        <f>'12 Вед'!M304</f>
        <v>16188</v>
      </c>
      <c r="D60" s="387">
        <f>'12 Вед'!N304</f>
        <v>16188</v>
      </c>
      <c r="E60" s="387">
        <f>'12 Вед'!O304</f>
        <v>16188</v>
      </c>
    </row>
    <row r="61" spans="1:5" s="44" customFormat="1" ht="18.75" hidden="1" x14ac:dyDescent="0.3">
      <c r="A61" s="31" t="s">
        <v>281</v>
      </c>
      <c r="B61" s="11" t="s">
        <v>659</v>
      </c>
      <c r="C61" s="387"/>
      <c r="D61" s="387"/>
      <c r="E61" s="387"/>
    </row>
    <row r="62" spans="1:5" s="204" customFormat="1" ht="17.25" customHeight="1" x14ac:dyDescent="0.3">
      <c r="A62" s="284" t="s">
        <v>282</v>
      </c>
      <c r="B62" s="18" t="s">
        <v>660</v>
      </c>
      <c r="C62" s="388">
        <f>C64</f>
        <v>0</v>
      </c>
      <c r="D62" s="388">
        <f t="shared" ref="D62:E62" si="9">D64</f>
        <v>5374</v>
      </c>
      <c r="E62" s="388">
        <f t="shared" si="9"/>
        <v>5374</v>
      </c>
    </row>
    <row r="63" spans="1:5" s="44" customFormat="1" ht="16.5" hidden="1" customHeight="1" x14ac:dyDescent="0.3">
      <c r="A63" s="31" t="s">
        <v>661</v>
      </c>
      <c r="B63" s="11" t="s">
        <v>662</v>
      </c>
      <c r="C63" s="387"/>
      <c r="D63" s="387"/>
      <c r="E63" s="387"/>
    </row>
    <row r="64" spans="1:5" s="44" customFormat="1" ht="18.75" x14ac:dyDescent="0.3">
      <c r="A64" s="31" t="s">
        <v>283</v>
      </c>
      <c r="B64" s="11" t="s">
        <v>663</v>
      </c>
      <c r="C64" s="387">
        <f>'12 Вед'!M841</f>
        <v>0</v>
      </c>
      <c r="D64" s="387">
        <f>'12 Вед'!N841</f>
        <v>5374</v>
      </c>
      <c r="E64" s="387">
        <f>'12 Вед'!O841</f>
        <v>5374</v>
      </c>
    </row>
    <row r="65" spans="1:5" s="204" customFormat="1" ht="19.5" hidden="1" customHeight="1" x14ac:dyDescent="0.3">
      <c r="A65" s="284" t="s">
        <v>664</v>
      </c>
      <c r="B65" s="18" t="s">
        <v>665</v>
      </c>
      <c r="C65" s="388">
        <f>C66</f>
        <v>0</v>
      </c>
      <c r="D65" s="388">
        <f t="shared" ref="D65:E65" si="10">D66</f>
        <v>0</v>
      </c>
      <c r="E65" s="388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7">
        <v>0</v>
      </c>
      <c r="D66" s="387">
        <v>0</v>
      </c>
      <c r="E66" s="387">
        <v>0</v>
      </c>
    </row>
    <row r="67" spans="1:5" s="204" customFormat="1" ht="38.25" x14ac:dyDescent="0.3">
      <c r="A67" s="284" t="s">
        <v>285</v>
      </c>
      <c r="B67" s="18" t="s">
        <v>668</v>
      </c>
      <c r="C67" s="388">
        <f>C68+C70</f>
        <v>-113.40000000000055</v>
      </c>
      <c r="D67" s="388">
        <f t="shared" ref="D67:E67" si="11">D68+D70</f>
        <v>31492.100000000002</v>
      </c>
      <c r="E67" s="388">
        <f t="shared" si="11"/>
        <v>31492.100000000002</v>
      </c>
    </row>
    <row r="68" spans="1:5" s="44" customFormat="1" ht="25.5" x14ac:dyDescent="0.3">
      <c r="A68" s="31" t="s">
        <v>286</v>
      </c>
      <c r="B68" s="11" t="s">
        <v>669</v>
      </c>
      <c r="C68" s="387">
        <f>'12 Вед'!M422</f>
        <v>-113.40000000000055</v>
      </c>
      <c r="D68" s="387">
        <f>'12 Вед'!N422</f>
        <v>31492.100000000002</v>
      </c>
      <c r="E68" s="387">
        <f>'12 Вед'!O422</f>
        <v>31492.100000000002</v>
      </c>
    </row>
    <row r="69" spans="1:5" s="44" customFormat="1" ht="18.75" hidden="1" x14ac:dyDescent="0.3">
      <c r="A69" s="31" t="s">
        <v>287</v>
      </c>
      <c r="B69" s="11" t="s">
        <v>670</v>
      </c>
      <c r="C69" s="387"/>
      <c r="D69" s="387"/>
      <c r="E69" s="387"/>
    </row>
    <row r="70" spans="1:5" s="44" customFormat="1" ht="18.75" hidden="1" x14ac:dyDescent="0.3">
      <c r="A70" s="31" t="s">
        <v>288</v>
      </c>
      <c r="B70" s="11" t="s">
        <v>671</v>
      </c>
      <c r="C70" s="387">
        <f>'12 Вед'!M426</f>
        <v>0</v>
      </c>
      <c r="D70" s="387">
        <f>'12 Вед'!N426</f>
        <v>0</v>
      </c>
      <c r="E70" s="387">
        <f>'12 Вед'!O426</f>
        <v>0</v>
      </c>
    </row>
    <row r="71" spans="1:5" s="44" customFormat="1" ht="15.75" customHeight="1" x14ac:dyDescent="0.3">
      <c r="A71" s="8" t="s">
        <v>696</v>
      </c>
      <c r="B71" s="351" t="s">
        <v>697</v>
      </c>
      <c r="C71" s="206">
        <f>'12 Вед'!M1007</f>
        <v>-8299.9069999999992</v>
      </c>
      <c r="D71" s="206">
        <f>'12 Вед'!N1007</f>
        <v>8616.8869999999988</v>
      </c>
      <c r="E71" s="206">
        <f>'12 Вед'!O1007</f>
        <v>17297.685999999998</v>
      </c>
    </row>
    <row r="72" spans="1:5" s="204" customFormat="1" ht="14.25" customHeight="1" x14ac:dyDescent="0.3">
      <c r="A72" s="202" t="s">
        <v>292</v>
      </c>
      <c r="B72" s="352"/>
      <c r="C72" s="207">
        <f>C9+C21+C27+C35+C42+C48+C51+C57+C62+C65+C67+C71</f>
        <v>-15097.904256000071</v>
      </c>
      <c r="D72" s="207">
        <f>D9+D21+D27+D35+D42+D48+D51+D57+D62+D65+D67+D71</f>
        <v>722337.17574399977</v>
      </c>
      <c r="E72" s="207">
        <f t="shared" ref="E72" si="12">E9+E21+E27+E35+E42+E48+E51+E57+E62+E65+E67+E71</f>
        <v>768671.91599999997</v>
      </c>
    </row>
    <row r="73" spans="1:5" s="44" customFormat="1" ht="20.25" hidden="1" customHeight="1" x14ac:dyDescent="0.3">
      <c r="A73" s="210"/>
      <c r="B73" s="210"/>
      <c r="C73" s="210"/>
      <c r="D73" s="211" t="e">
        <f>'[2]15 вед'!AB1926</f>
        <v>#REF!</v>
      </c>
      <c r="E73" s="211" t="e">
        <f>'[3]15 вед'!AC1926</f>
        <v>#REF!</v>
      </c>
    </row>
    <row r="74" spans="1:5" s="44" customFormat="1" ht="18.75" hidden="1" x14ac:dyDescent="0.3">
      <c r="A74" s="1"/>
      <c r="B74" s="121"/>
      <c r="C74" s="121"/>
      <c r="D74" s="208" t="e">
        <f>D72-D73</f>
        <v>#REF!</v>
      </c>
      <c r="E74" s="208" t="e">
        <f>E72-E73</f>
        <v>#REF!</v>
      </c>
    </row>
    <row r="75" spans="1:5" s="44" customFormat="1" ht="18.75" hidden="1" x14ac:dyDescent="0.3">
      <c r="A75" s="1"/>
      <c r="B75" s="121"/>
      <c r="C75" s="121"/>
      <c r="D75" s="3"/>
      <c r="E75" s="3"/>
    </row>
    <row r="76" spans="1:5" s="440" customFormat="1" hidden="1" x14ac:dyDescent="0.2">
      <c r="A76" s="438"/>
      <c r="B76" s="439"/>
      <c r="C76" s="439"/>
      <c r="D76" s="409">
        <f>'12 Вед'!N1008</f>
        <v>722337.17574399989</v>
      </c>
      <c r="E76" s="409">
        <f>'12 Вед'!O1008</f>
        <v>768671.91600000008</v>
      </c>
    </row>
    <row r="77" spans="1:5" s="440" customFormat="1" hidden="1" x14ac:dyDescent="0.2">
      <c r="A77" s="438"/>
      <c r="B77" s="439"/>
      <c r="C77" s="439"/>
      <c r="D77" s="409">
        <f>D76-D72</f>
        <v>0</v>
      </c>
      <c r="E77" s="409">
        <f>E76-E72</f>
        <v>0</v>
      </c>
    </row>
    <row r="78" spans="1:5" hidden="1" x14ac:dyDescent="0.2">
      <c r="B78" s="121"/>
      <c r="C78" s="121"/>
    </row>
    <row r="79" spans="1:5" hidden="1" x14ac:dyDescent="0.2">
      <c r="B79" s="121"/>
      <c r="C79" s="121"/>
    </row>
    <row r="80" spans="1:5" hidden="1" x14ac:dyDescent="0.2">
      <c r="B80" s="121"/>
      <c r="C80" s="121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2023-11-08T04:19:18Z</cp:lastPrinted>
  <dcterms:created xsi:type="dcterms:W3CDTF">2008-11-09T14:04:37Z</dcterms:created>
  <dcterms:modified xsi:type="dcterms:W3CDTF">2023-11-15T10:13:52Z</dcterms:modified>
</cp:coreProperties>
</file>